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HSD Shared\AHSRI programs\AROC\AROC reports\2023Calendar\AN-SNAP Calculator\"/>
    </mc:Choice>
  </mc:AlternateContent>
  <workbookProtection workbookAlgorithmName="SHA-512" workbookHashValue="C4qul0ujt/LtiyHGSvvXlmwN6tAeMDKoWXyEJ6KYYppz+RJtKZtP6LlQVJ65b2LyeqjLP3WHW04kHVGai1uI4g==" workbookSaltValue="77pQf9mFrT6aNbbFlmbZQg==" workbookSpinCount="100000" lockStructure="1"/>
  <bookViews>
    <workbookView xWindow="0" yWindow="405" windowWidth="26670" windowHeight="11430" tabRatio="703"/>
  </bookViews>
  <sheets>
    <sheet name="DataEntry" sheetId="1" r:id="rId1"/>
    <sheet name="ListData" sheetId="2" state="hidden" r:id="rId2"/>
    <sheet name="Calculation" sheetId="3" state="hidden" r:id="rId3"/>
    <sheet name="ListDataV4" sheetId="4" state="hidden" r:id="rId4"/>
    <sheet name="CalculationV4" sheetId="5" state="hidden" r:id="rId5"/>
    <sheet name="WeightedFIMLookupV4" sheetId="6" state="hidden" r:id="rId6"/>
    <sheet name="ListDataV5" sheetId="11" state="hidden" r:id="rId7"/>
    <sheet name="CalculationV5" sheetId="12" state="hidden" r:id="rId8"/>
    <sheet name="WeightedFIMLookupV5" sheetId="13" state="hidden" r:id="rId9"/>
    <sheet name="Benchmarks" sheetId="7" state="hidden" r:id="rId10"/>
  </sheets>
  <definedNames>
    <definedName name="_xlnm._FilterDatabase" localSheetId="1" hidden="1">ListData!$C$2:$C$105</definedName>
    <definedName name="_xlnm._FilterDatabase" localSheetId="3" hidden="1">ListDataV4!$C$2:$C$105</definedName>
    <definedName name="_xlnm._FilterDatabase" localSheetId="6" hidden="1">ListDataV5!$C$2:$C$105</definedName>
    <definedName name="Age">Calculation!$C$11</definedName>
    <definedName name="Agev4">CalculationV4!$C$14</definedName>
    <definedName name="Agev5">CalculationV5!$C$14</definedName>
    <definedName name="AICDesc">Calculation!$C$10</definedName>
    <definedName name="AICDescv4">CalculationV4!$C$13</definedName>
    <definedName name="AICDescv5">CalculationV5!$C$13</definedName>
    <definedName name="AICmajor">Calculation!$C$8</definedName>
    <definedName name="AICmajorv4">CalculationV4!$C$8</definedName>
    <definedName name="AICmajorv5">CalculationV5!$C$8</definedName>
    <definedName name="AICminor">Calculation!$C$9</definedName>
    <definedName name="AICminorv4">CalculationV4!$C$9</definedName>
    <definedName name="AICminorv5">CalculationV5!$C$9</definedName>
    <definedName name="AICRaw">Calculation!$C$7</definedName>
    <definedName name="AICrawv4">CalculationV4!$C$7</definedName>
    <definedName name="AICrawv5">CalculationV5!$C$7</definedName>
    <definedName name="AROC_Impairment_Code">DataEntry!$D$11</definedName>
    <definedName name="AssessOnly">DataEntry!$D$13</definedName>
    <definedName name="AssessOnlyList">ListData!$I$69:$J$71</definedName>
    <definedName name="AssessOnlyListv4">ListDataV4!$L$74:$M$82</definedName>
    <definedName name="AssessOnlyListv5">ListDataV5!$L$74:$M$82</definedName>
    <definedName name="AssessOnlyValue">Calculation!$C$5</definedName>
    <definedName name="AssessOnlyValuev4">CalculationV4!$C$5</definedName>
    <definedName name="AssessOnlyValuev5">CalculationV5!$C$5</definedName>
    <definedName name="BenchmarkPeriod">Benchmarks!$O$8</definedName>
    <definedName name="Country">DataEntry!$D$9</definedName>
    <definedName name="DataComplete">Calculation!$E$24</definedName>
    <definedName name="DataCompletev4">CalculationV4!$E$24</definedName>
    <definedName name="DataCompletev5">CalculationV5!$E$24</definedName>
    <definedName name="Date_of_Birth">DataEntry!$D$5</definedName>
    <definedName name="Episode_Start_Date">DataEntry!$D$7</definedName>
    <definedName name="FIM_Code">ListData!$B$111:$D$118</definedName>
    <definedName name="FIM_Codev4">ListDataV4!$B$111:$D$118</definedName>
    <definedName name="FIM_Codev5">ListDataV5!$B$111:$D$118</definedName>
    <definedName name="FIM_Cognition">Calculation!$F$21</definedName>
    <definedName name="FIM_Cognitionv4">CalculationV4!$F$21</definedName>
    <definedName name="FIM_Cognitionv5">CalculationV5!$F$21</definedName>
    <definedName name="FIM_Motorv4">CalculationV4!$F$16</definedName>
    <definedName name="FIM_Motorv5">CalculationV5!$F$16</definedName>
    <definedName name="FIM_Total">Calculation!$E$22</definedName>
    <definedName name="FIM_Totalv4">CalculationV4!$E$22</definedName>
    <definedName name="FIM_Totalv5">CalculationV5!$E$22</definedName>
    <definedName name="FIMbathing">DataEntry!$F$7</definedName>
    <definedName name="FIMBenchmark">Benchmarks!$O$2</definedName>
    <definedName name="FIMbladder">DataEntry!$F$11</definedName>
    <definedName name="FIMbowel">DataEntry!$F$12</definedName>
    <definedName name="FIMcomprehension">DataEntry!$F$18</definedName>
    <definedName name="FIMeating">DataEntry!$F$5</definedName>
    <definedName name="FIMexpression">DataEntry!$F$19</definedName>
    <definedName name="FIMgrooming">DataEntry!$F$6</definedName>
    <definedName name="FIMlocomotion">DataEntry!$F$16</definedName>
    <definedName name="FIMlower">DataEntry!$F$9</definedName>
    <definedName name="FIMmemory">DataEntry!$F$22</definedName>
    <definedName name="FIMMotor">Calculation!$F$16</definedName>
    <definedName name="FIMproblem">DataEntry!$F$21</definedName>
    <definedName name="FIMsocial">DataEntry!$F$20</definedName>
    <definedName name="FIMstairs">DataEntry!$F$17</definedName>
    <definedName name="FIMtoileting">DataEntry!$F$10</definedName>
    <definedName name="FIMtransfer">DataEntry!$F$13</definedName>
    <definedName name="FIMtransfertoil">DataEntry!$F$14</definedName>
    <definedName name="FIMtransfertub">DataEntry!$F$15</definedName>
    <definedName name="FIMupper">DataEntry!$F$8</definedName>
    <definedName name="Impairment_Code">ListData!$B$2:$F$108</definedName>
    <definedName name="ImpairmentCode_v4">ListDataV4!$B$2:$I$108</definedName>
    <definedName name="ImpairmentCode_v5">ListDataV5!$B$2:$I$108</definedName>
    <definedName name="LOSBenchmark">Benchmarks!$N$2</definedName>
    <definedName name="_xlnm.Print_Area" localSheetId="0">DataEntry!$1:$26</definedName>
    <definedName name="R.W.FIM_Motorv4">CalculationV4!$N$20</definedName>
    <definedName name="R.W.FIM_Motorv5">CalculationV5!$N$20</definedName>
    <definedName name="RehabTypeList">ListData!$I$64:$J$67</definedName>
    <definedName name="RehabTypeListv4">ListDataV4!$L$69:$M$72</definedName>
    <definedName name="RehabTypeListv5">ListDataV5!$L$69:$M$72</definedName>
    <definedName name="RehabTypeValue">Calculation!$C$4</definedName>
    <definedName name="RehabTypeValuev4">CalculationV4!$C$4</definedName>
    <definedName name="RehabTypeValuev5">CalculationV5!$C$4</definedName>
    <definedName name="SNAP_Class_Calc">Calculation!$E$25</definedName>
    <definedName name="SNAP_Class_Calc_Desc">Calculation!$E$26</definedName>
    <definedName name="SNAP_Class_Calc_Descv4">CalculationV4!$E$26</definedName>
    <definedName name="SNAP_Class_Calc_Descv5">CalculationV5!$E$26</definedName>
    <definedName name="SNAP_Class_Calcv4">CalculationV4!$E$25</definedName>
    <definedName name="SNAP_Class_Calcv5">CalculationV5!$E$25</definedName>
    <definedName name="SNAPCode_List">ListData!$H$2:$K$62</definedName>
    <definedName name="SNAPCode_Listv4">ListDataV4!$K$2:$N$62</definedName>
    <definedName name="SNAPCode_Listv5">ListDataV5!$K$2:$N$62</definedName>
    <definedName name="UpdateBenchmarksDate">Benchmarks!$O$11</definedName>
    <definedName name="W.FIM_Motorv4">CalculationV4!$N$16</definedName>
    <definedName name="W.FIM_Motorv5">CalculationV5!$N$16</definedName>
    <definedName name="WFIMHighGroupv4">CalculationV4!$C$12</definedName>
    <definedName name="WFIMHighGroupv5">CalculationV5!$C$12</definedName>
    <definedName name="WFIMLowGroupv4">CalculationV4!$C$11</definedName>
    <definedName name="WFIMLowGroupv5">CalculationV5!$C$11</definedName>
  </definedNames>
  <calcPr calcId="162913"/>
</workbook>
</file>

<file path=xl/calcChain.xml><?xml version="1.0" encoding="utf-8"?>
<calcChain xmlns="http://schemas.openxmlformats.org/spreadsheetml/2006/main">
  <c r="I7" i="7" l="1"/>
  <c r="I1" i="7" s="1"/>
  <c r="I4" i="7" l="1"/>
  <c r="C8" i="12"/>
  <c r="C13" i="12"/>
  <c r="C12" i="12"/>
  <c r="C11" i="12"/>
  <c r="C10" i="12"/>
  <c r="J7" i="12" s="1"/>
  <c r="C9" i="12"/>
  <c r="J14" i="12" l="1"/>
  <c r="J13" i="12"/>
  <c r="J16" i="12"/>
  <c r="J6" i="12"/>
  <c r="J15" i="12"/>
  <c r="J4" i="12"/>
  <c r="J5" i="12"/>
  <c r="J10" i="12"/>
  <c r="J8" i="12"/>
  <c r="J9" i="12"/>
  <c r="J11" i="12"/>
  <c r="J12" i="12"/>
  <c r="E21" i="12"/>
  <c r="H21" i="12" s="1"/>
  <c r="E20" i="12"/>
  <c r="H20" i="12" s="1"/>
  <c r="E19" i="12"/>
  <c r="H19" i="12" s="1"/>
  <c r="E18" i="12"/>
  <c r="H18" i="12" s="1"/>
  <c r="E17" i="12"/>
  <c r="H17" i="12" s="1"/>
  <c r="E16" i="12"/>
  <c r="E15" i="12"/>
  <c r="E14" i="12"/>
  <c r="H14" i="12" s="1"/>
  <c r="C14" i="12"/>
  <c r="E13" i="12"/>
  <c r="H13" i="12" s="1"/>
  <c r="E12" i="12"/>
  <c r="H12" i="12" s="1"/>
  <c r="E11" i="12"/>
  <c r="E10" i="12"/>
  <c r="H10" i="12" s="1"/>
  <c r="E9" i="12"/>
  <c r="H9" i="12" s="1"/>
  <c r="E8" i="12"/>
  <c r="E7" i="12"/>
  <c r="H7" i="12" s="1"/>
  <c r="C7" i="12"/>
  <c r="E6" i="12"/>
  <c r="H6" i="12" s="1"/>
  <c r="E5" i="12"/>
  <c r="H5" i="12" s="1"/>
  <c r="C5" i="12"/>
  <c r="E4" i="12"/>
  <c r="H4" i="12" s="1"/>
  <c r="B118" i="11"/>
  <c r="B117" i="11"/>
  <c r="B116" i="11"/>
  <c r="B115" i="11"/>
  <c r="B114" i="11"/>
  <c r="B113" i="11"/>
  <c r="B112" i="11"/>
  <c r="E108" i="11"/>
  <c r="F108" i="11" s="1"/>
  <c r="C108" i="11"/>
  <c r="E107" i="11"/>
  <c r="F107" i="11" s="1"/>
  <c r="C107" i="11"/>
  <c r="E106" i="11"/>
  <c r="F106" i="11" s="1"/>
  <c r="C106" i="11"/>
  <c r="E105" i="11"/>
  <c r="F105" i="11" s="1"/>
  <c r="C105" i="11"/>
  <c r="E104" i="11"/>
  <c r="F104" i="11" s="1"/>
  <c r="C104" i="11"/>
  <c r="E103" i="11"/>
  <c r="F103" i="11" s="1"/>
  <c r="C103" i="11"/>
  <c r="F102" i="11"/>
  <c r="E102" i="11"/>
  <c r="C102" i="11"/>
  <c r="E101" i="11"/>
  <c r="F101" i="11" s="1"/>
  <c r="C101" i="11"/>
  <c r="F100" i="11"/>
  <c r="E100" i="11"/>
  <c r="C100" i="11"/>
  <c r="F99" i="11"/>
  <c r="E99" i="11"/>
  <c r="C99" i="11"/>
  <c r="E98" i="11"/>
  <c r="F98" i="11" s="1"/>
  <c r="C98" i="11"/>
  <c r="E97" i="11"/>
  <c r="F97" i="11" s="1"/>
  <c r="C97" i="11"/>
  <c r="F96" i="11"/>
  <c r="E96" i="11"/>
  <c r="C96" i="11"/>
  <c r="E95" i="11"/>
  <c r="F95" i="11" s="1"/>
  <c r="C95" i="11"/>
  <c r="E94" i="11"/>
  <c r="F94" i="11" s="1"/>
  <c r="C94" i="11"/>
  <c r="F93" i="11"/>
  <c r="E93" i="11"/>
  <c r="C93" i="11"/>
  <c r="F92" i="11"/>
  <c r="E92" i="11"/>
  <c r="C92" i="11"/>
  <c r="E91" i="11"/>
  <c r="F91" i="11" s="1"/>
  <c r="C91" i="11"/>
  <c r="E90" i="11"/>
  <c r="F90" i="11" s="1"/>
  <c r="C90" i="11"/>
  <c r="E89" i="11"/>
  <c r="F89" i="11" s="1"/>
  <c r="C89" i="11"/>
  <c r="E88" i="11"/>
  <c r="F88" i="11" s="1"/>
  <c r="C88" i="11"/>
  <c r="E87" i="11"/>
  <c r="F87" i="11" s="1"/>
  <c r="C87" i="11"/>
  <c r="E86" i="11"/>
  <c r="F86" i="11" s="1"/>
  <c r="C86" i="11"/>
  <c r="F85" i="11"/>
  <c r="E85" i="11"/>
  <c r="C85" i="11"/>
  <c r="F84" i="11"/>
  <c r="E84" i="11"/>
  <c r="C84" i="11"/>
  <c r="F83" i="11"/>
  <c r="E83" i="11"/>
  <c r="C83" i="11"/>
  <c r="E82" i="11"/>
  <c r="F82" i="11" s="1"/>
  <c r="C82" i="11"/>
  <c r="E81" i="11"/>
  <c r="F81" i="11" s="1"/>
  <c r="C81" i="11"/>
  <c r="E80" i="11"/>
  <c r="F80" i="11" s="1"/>
  <c r="C80" i="11"/>
  <c r="E79" i="11"/>
  <c r="F79" i="11" s="1"/>
  <c r="C79" i="11"/>
  <c r="E78" i="11"/>
  <c r="F78" i="11" s="1"/>
  <c r="C78" i="11"/>
  <c r="F77" i="11"/>
  <c r="E77" i="11"/>
  <c r="C77" i="11"/>
  <c r="F76" i="11"/>
  <c r="E76" i="11"/>
  <c r="C76" i="11"/>
  <c r="E75" i="11"/>
  <c r="F75" i="11" s="1"/>
  <c r="C75" i="11"/>
  <c r="E74" i="11"/>
  <c r="F74" i="11" s="1"/>
  <c r="C74" i="11"/>
  <c r="E73" i="11"/>
  <c r="F73" i="11" s="1"/>
  <c r="C73" i="11"/>
  <c r="E72" i="11"/>
  <c r="F72" i="11" s="1"/>
  <c r="C72" i="11"/>
  <c r="E71" i="11"/>
  <c r="F71" i="11" s="1"/>
  <c r="C71" i="11"/>
  <c r="E70" i="11"/>
  <c r="F70" i="11" s="1"/>
  <c r="C70" i="11"/>
  <c r="F69" i="11"/>
  <c r="E69" i="11"/>
  <c r="C69" i="11"/>
  <c r="F68" i="11"/>
  <c r="E68" i="11"/>
  <c r="C68" i="11"/>
  <c r="E67" i="11"/>
  <c r="F67" i="11" s="1"/>
  <c r="C67" i="11"/>
  <c r="F66" i="11"/>
  <c r="E66" i="11"/>
  <c r="C66" i="11"/>
  <c r="E65" i="11"/>
  <c r="F65" i="11" s="1"/>
  <c r="C65" i="11"/>
  <c r="E64" i="11"/>
  <c r="F64" i="11" s="1"/>
  <c r="C64" i="11"/>
  <c r="E63" i="11"/>
  <c r="F63" i="11" s="1"/>
  <c r="C63" i="11"/>
  <c r="F62" i="11"/>
  <c r="E62" i="11"/>
  <c r="C62" i="11"/>
  <c r="F61" i="11"/>
  <c r="E61" i="11"/>
  <c r="C61" i="11"/>
  <c r="F60" i="11"/>
  <c r="E60" i="11"/>
  <c r="C60" i="11"/>
  <c r="E59" i="11"/>
  <c r="F59" i="11" s="1"/>
  <c r="C59" i="11"/>
  <c r="E58" i="11"/>
  <c r="F58" i="11" s="1"/>
  <c r="C58" i="11"/>
  <c r="F57" i="11"/>
  <c r="E57" i="11"/>
  <c r="C57" i="11"/>
  <c r="F56" i="11"/>
  <c r="E56" i="11"/>
  <c r="C56" i="11"/>
  <c r="E55" i="11"/>
  <c r="F55" i="11" s="1"/>
  <c r="C55" i="11"/>
  <c r="E54" i="11"/>
  <c r="F54" i="11" s="1"/>
  <c r="C54" i="11"/>
  <c r="F53" i="11"/>
  <c r="E53" i="11"/>
  <c r="C53" i="11"/>
  <c r="F52" i="11"/>
  <c r="E52" i="11"/>
  <c r="C52" i="11"/>
  <c r="E51" i="11"/>
  <c r="F51" i="11" s="1"/>
  <c r="C51" i="11"/>
  <c r="E50" i="11"/>
  <c r="F50" i="11" s="1"/>
  <c r="C50" i="11"/>
  <c r="E49" i="11"/>
  <c r="F49" i="11" s="1"/>
  <c r="C49" i="11"/>
  <c r="F48" i="11"/>
  <c r="E48" i="11"/>
  <c r="C48" i="11"/>
  <c r="E47" i="11"/>
  <c r="F47" i="11" s="1"/>
  <c r="C47" i="11"/>
  <c r="E46" i="11"/>
  <c r="F46" i="11" s="1"/>
  <c r="C46" i="11"/>
  <c r="E45" i="11"/>
  <c r="F45" i="11" s="1"/>
  <c r="C45" i="11"/>
  <c r="E44" i="11"/>
  <c r="F44" i="11" s="1"/>
  <c r="C44" i="11"/>
  <c r="E43" i="11"/>
  <c r="F43" i="11" s="1"/>
  <c r="C43" i="11"/>
  <c r="E42" i="11"/>
  <c r="F42" i="11" s="1"/>
  <c r="C42" i="11"/>
  <c r="E41" i="11"/>
  <c r="F41" i="11" s="1"/>
  <c r="C41" i="11"/>
  <c r="E40" i="11"/>
  <c r="F40" i="11" s="1"/>
  <c r="C40" i="11"/>
  <c r="E39" i="11"/>
  <c r="F39" i="11" s="1"/>
  <c r="C39" i="11"/>
  <c r="E38" i="11"/>
  <c r="F38" i="11" s="1"/>
  <c r="C38" i="11"/>
  <c r="E37" i="11"/>
  <c r="F37" i="11" s="1"/>
  <c r="C37" i="11"/>
  <c r="E36" i="11"/>
  <c r="F36" i="11" s="1"/>
  <c r="C36" i="11"/>
  <c r="E35" i="11"/>
  <c r="F35" i="11" s="1"/>
  <c r="C35" i="11"/>
  <c r="E34" i="11"/>
  <c r="F34" i="11" s="1"/>
  <c r="C34" i="11"/>
  <c r="E33" i="11"/>
  <c r="F33" i="11" s="1"/>
  <c r="C33" i="11"/>
  <c r="E32" i="11"/>
  <c r="F32" i="11" s="1"/>
  <c r="C32" i="11"/>
  <c r="E31" i="11"/>
  <c r="F31" i="11" s="1"/>
  <c r="C31" i="11"/>
  <c r="E30" i="11"/>
  <c r="F30" i="11" s="1"/>
  <c r="C30" i="11"/>
  <c r="E29" i="11"/>
  <c r="F29" i="11" s="1"/>
  <c r="C29" i="11"/>
  <c r="E28" i="11"/>
  <c r="F28" i="11" s="1"/>
  <c r="C28" i="11"/>
  <c r="E27" i="11"/>
  <c r="F27" i="11" s="1"/>
  <c r="C27" i="11"/>
  <c r="E26" i="11"/>
  <c r="F26" i="11" s="1"/>
  <c r="C26" i="11"/>
  <c r="E25" i="11"/>
  <c r="F25" i="11" s="1"/>
  <c r="C25" i="11"/>
  <c r="E24" i="11"/>
  <c r="F24" i="11" s="1"/>
  <c r="C24" i="11"/>
  <c r="E23" i="11"/>
  <c r="F23" i="11" s="1"/>
  <c r="C23" i="11"/>
  <c r="E22" i="11"/>
  <c r="F22" i="11" s="1"/>
  <c r="C22" i="11"/>
  <c r="E21" i="11"/>
  <c r="F21" i="11" s="1"/>
  <c r="C21" i="11"/>
  <c r="E20" i="11"/>
  <c r="F20" i="11" s="1"/>
  <c r="C20" i="11"/>
  <c r="E19" i="11"/>
  <c r="F19" i="11" s="1"/>
  <c r="C19" i="11"/>
  <c r="E18" i="11"/>
  <c r="F18" i="11" s="1"/>
  <c r="C18" i="11"/>
  <c r="E17" i="11"/>
  <c r="F17" i="11" s="1"/>
  <c r="C17" i="11"/>
  <c r="E16" i="11"/>
  <c r="F16" i="11" s="1"/>
  <c r="C16" i="11"/>
  <c r="E15" i="11"/>
  <c r="F15" i="11" s="1"/>
  <c r="C15" i="11"/>
  <c r="E14" i="11"/>
  <c r="F14" i="11" s="1"/>
  <c r="C14" i="11"/>
  <c r="E13" i="11"/>
  <c r="F13" i="11" s="1"/>
  <c r="C13" i="11"/>
  <c r="E12" i="11"/>
  <c r="F12" i="11" s="1"/>
  <c r="C12" i="11"/>
  <c r="E11" i="11"/>
  <c r="F11" i="11" s="1"/>
  <c r="C11" i="11"/>
  <c r="E10" i="11"/>
  <c r="F10" i="11" s="1"/>
  <c r="C10" i="11"/>
  <c r="E9" i="11"/>
  <c r="F9" i="11" s="1"/>
  <c r="C9" i="11"/>
  <c r="E8" i="11"/>
  <c r="F8" i="11" s="1"/>
  <c r="C8" i="11"/>
  <c r="E7" i="11"/>
  <c r="F7" i="11" s="1"/>
  <c r="C7" i="11"/>
  <c r="E6" i="11"/>
  <c r="F6" i="11" s="1"/>
  <c r="C6" i="11"/>
  <c r="E5" i="11"/>
  <c r="F5" i="11" s="1"/>
  <c r="C5" i="11"/>
  <c r="E4" i="11"/>
  <c r="F4" i="11" s="1"/>
  <c r="C4" i="11"/>
  <c r="E3" i="11"/>
  <c r="F3" i="11" s="1"/>
  <c r="C3" i="11"/>
  <c r="C11" i="5"/>
  <c r="C8" i="3"/>
  <c r="F106" i="4"/>
  <c r="F107" i="4"/>
  <c r="F108" i="4"/>
  <c r="E106" i="4"/>
  <c r="E107" i="4"/>
  <c r="E108" i="4"/>
  <c r="C106" i="4"/>
  <c r="C107" i="4"/>
  <c r="C108" i="4"/>
  <c r="C106" i="2"/>
  <c r="C107" i="2"/>
  <c r="C108" i="2"/>
  <c r="C104" i="2"/>
  <c r="E108" i="2"/>
  <c r="F108" i="2" s="1"/>
  <c r="E107" i="2"/>
  <c r="F107" i="2" s="1"/>
  <c r="E106" i="2"/>
  <c r="F106" i="2"/>
  <c r="L13" i="12" l="1"/>
  <c r="L6" i="12"/>
  <c r="L7" i="12"/>
  <c r="L9" i="12"/>
  <c r="F21" i="12"/>
  <c r="L10" i="12"/>
  <c r="L4" i="12"/>
  <c r="L16" i="12"/>
  <c r="H11" i="12"/>
  <c r="H8" i="12"/>
  <c r="L11" i="12"/>
  <c r="L14" i="12"/>
  <c r="L8" i="12"/>
  <c r="H15" i="12"/>
  <c r="L15" i="12"/>
  <c r="L5" i="12"/>
  <c r="L12" i="12"/>
  <c r="H16" i="12"/>
  <c r="G17" i="1"/>
  <c r="G15" i="1"/>
  <c r="E24" i="12" l="1"/>
  <c r="N16" i="12"/>
  <c r="N20" i="12" s="1"/>
  <c r="K6" i="11" s="1"/>
  <c r="E22" i="12"/>
  <c r="F16" i="12"/>
  <c r="I3" i="7"/>
  <c r="K27" i="11" l="1"/>
  <c r="K3" i="11"/>
  <c r="K50" i="11"/>
  <c r="K35" i="11"/>
  <c r="K34" i="11"/>
  <c r="K48" i="11"/>
  <c r="K41" i="11"/>
  <c r="K38" i="11"/>
  <c r="K37" i="11"/>
  <c r="K49" i="11"/>
  <c r="K33" i="11"/>
  <c r="K42" i="11"/>
  <c r="K39" i="11"/>
  <c r="K47" i="11"/>
  <c r="K32" i="11"/>
  <c r="K40" i="11"/>
  <c r="K36" i="11"/>
  <c r="K13" i="11"/>
  <c r="K12" i="11"/>
  <c r="K26" i="11"/>
  <c r="K23" i="11"/>
  <c r="K21" i="11"/>
  <c r="K31" i="11"/>
  <c r="K14" i="11"/>
  <c r="K25" i="11"/>
  <c r="K24" i="11"/>
  <c r="K5" i="11"/>
  <c r="K22" i="11"/>
  <c r="K4" i="11"/>
  <c r="C11" i="3"/>
  <c r="C14" i="5"/>
  <c r="G6" i="1" l="1"/>
  <c r="O1" i="1" l="1"/>
  <c r="C45" i="2" l="1"/>
  <c r="E45" i="2"/>
  <c r="F45" i="2" s="1"/>
  <c r="C45" i="4"/>
  <c r="E45" i="4"/>
  <c r="F45" i="4"/>
  <c r="C18" i="2"/>
  <c r="E18" i="2"/>
  <c r="F18" i="2" s="1"/>
  <c r="C18" i="4"/>
  <c r="E18" i="4"/>
  <c r="F18" i="4" s="1"/>
  <c r="C103" i="2" l="1"/>
  <c r="E103" i="2"/>
  <c r="F103" i="2" s="1"/>
  <c r="C103" i="4"/>
  <c r="E103" i="4"/>
  <c r="F103" i="4" s="1"/>
  <c r="C10" i="5" l="1"/>
  <c r="J4" i="5" l="1"/>
  <c r="J9" i="5"/>
  <c r="J10" i="5"/>
  <c r="J16" i="5"/>
  <c r="J15" i="5"/>
  <c r="J11" i="5"/>
  <c r="J7" i="5"/>
  <c r="J6" i="5"/>
  <c r="J14" i="5"/>
  <c r="J12" i="5"/>
  <c r="J5" i="5"/>
  <c r="J13" i="5"/>
  <c r="J8" i="5"/>
  <c r="C13" i="5"/>
  <c r="C12" i="5"/>
  <c r="E21" i="5" l="1"/>
  <c r="H21" i="5" s="1"/>
  <c r="E20" i="5"/>
  <c r="H20" i="5" s="1"/>
  <c r="E19" i="5"/>
  <c r="H19" i="5" s="1"/>
  <c r="E18" i="5"/>
  <c r="H18" i="5" s="1"/>
  <c r="E17" i="5"/>
  <c r="H17" i="5" s="1"/>
  <c r="E16" i="5"/>
  <c r="L16" i="5" s="1"/>
  <c r="E15" i="5"/>
  <c r="H15" i="5" s="1"/>
  <c r="E14" i="5"/>
  <c r="H14" i="5" s="1"/>
  <c r="E13" i="5"/>
  <c r="H13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C7" i="5"/>
  <c r="E6" i="5"/>
  <c r="H6" i="5" s="1"/>
  <c r="E5" i="5"/>
  <c r="H5" i="5" s="1"/>
  <c r="C5" i="5"/>
  <c r="E4" i="5"/>
  <c r="H4" i="5" s="1"/>
  <c r="B118" i="4"/>
  <c r="B117" i="4"/>
  <c r="B116" i="4"/>
  <c r="B115" i="4"/>
  <c r="B114" i="4"/>
  <c r="B113" i="4"/>
  <c r="B112" i="4"/>
  <c r="E105" i="4"/>
  <c r="F105" i="4" s="1"/>
  <c r="C105" i="4"/>
  <c r="E104" i="4"/>
  <c r="F104" i="4" s="1"/>
  <c r="C104" i="4"/>
  <c r="E102" i="4"/>
  <c r="F102" i="4" s="1"/>
  <c r="C102" i="4"/>
  <c r="E101" i="4"/>
  <c r="F101" i="4" s="1"/>
  <c r="C101" i="4"/>
  <c r="E100" i="4"/>
  <c r="F100" i="4" s="1"/>
  <c r="C100" i="4"/>
  <c r="E99" i="4"/>
  <c r="F99" i="4" s="1"/>
  <c r="C99" i="4"/>
  <c r="E98" i="4"/>
  <c r="F98" i="4" s="1"/>
  <c r="C98" i="4"/>
  <c r="E97" i="4"/>
  <c r="F97" i="4" s="1"/>
  <c r="C97" i="4"/>
  <c r="E96" i="4"/>
  <c r="F96" i="4" s="1"/>
  <c r="C96" i="4"/>
  <c r="E95" i="4"/>
  <c r="F95" i="4" s="1"/>
  <c r="C95" i="4"/>
  <c r="E94" i="4"/>
  <c r="F94" i="4" s="1"/>
  <c r="C94" i="4"/>
  <c r="E93" i="4"/>
  <c r="F93" i="4" s="1"/>
  <c r="C93" i="4"/>
  <c r="E92" i="4"/>
  <c r="F92" i="4" s="1"/>
  <c r="C92" i="4"/>
  <c r="E91" i="4"/>
  <c r="F91" i="4" s="1"/>
  <c r="C91" i="4"/>
  <c r="E90" i="4"/>
  <c r="F90" i="4" s="1"/>
  <c r="C90" i="4"/>
  <c r="E89" i="4"/>
  <c r="F89" i="4" s="1"/>
  <c r="C89" i="4"/>
  <c r="E88" i="4"/>
  <c r="F88" i="4" s="1"/>
  <c r="C88" i="4"/>
  <c r="E87" i="4"/>
  <c r="F87" i="4" s="1"/>
  <c r="C87" i="4"/>
  <c r="E86" i="4"/>
  <c r="F86" i="4" s="1"/>
  <c r="C86" i="4"/>
  <c r="E85" i="4"/>
  <c r="F85" i="4" s="1"/>
  <c r="C85" i="4"/>
  <c r="E84" i="4"/>
  <c r="F84" i="4" s="1"/>
  <c r="C84" i="4"/>
  <c r="E83" i="4"/>
  <c r="F83" i="4" s="1"/>
  <c r="C83" i="4"/>
  <c r="E82" i="4"/>
  <c r="F82" i="4" s="1"/>
  <c r="C82" i="4"/>
  <c r="E81" i="4"/>
  <c r="F81" i="4" s="1"/>
  <c r="C81" i="4"/>
  <c r="E80" i="4"/>
  <c r="F80" i="4" s="1"/>
  <c r="C80" i="4"/>
  <c r="E79" i="4"/>
  <c r="F79" i="4" s="1"/>
  <c r="C79" i="4"/>
  <c r="E78" i="4"/>
  <c r="F78" i="4" s="1"/>
  <c r="C78" i="4"/>
  <c r="E77" i="4"/>
  <c r="F77" i="4" s="1"/>
  <c r="C77" i="4"/>
  <c r="E76" i="4"/>
  <c r="F76" i="4" s="1"/>
  <c r="C76" i="4"/>
  <c r="E75" i="4"/>
  <c r="F75" i="4" s="1"/>
  <c r="C75" i="4"/>
  <c r="E74" i="4"/>
  <c r="F74" i="4" s="1"/>
  <c r="C74" i="4"/>
  <c r="E73" i="4"/>
  <c r="F73" i="4" s="1"/>
  <c r="C73" i="4"/>
  <c r="E72" i="4"/>
  <c r="F72" i="4" s="1"/>
  <c r="C72" i="4"/>
  <c r="E71" i="4"/>
  <c r="F71" i="4" s="1"/>
  <c r="C71" i="4"/>
  <c r="E70" i="4"/>
  <c r="F70" i="4" s="1"/>
  <c r="C70" i="4"/>
  <c r="E69" i="4"/>
  <c r="F69" i="4" s="1"/>
  <c r="C69" i="4"/>
  <c r="E68" i="4"/>
  <c r="F68" i="4" s="1"/>
  <c r="C68" i="4"/>
  <c r="E67" i="4"/>
  <c r="F67" i="4" s="1"/>
  <c r="C67" i="4"/>
  <c r="E66" i="4"/>
  <c r="F66" i="4" s="1"/>
  <c r="C66" i="4"/>
  <c r="E65" i="4"/>
  <c r="F65" i="4" s="1"/>
  <c r="C65" i="4"/>
  <c r="E64" i="4"/>
  <c r="F64" i="4" s="1"/>
  <c r="C64" i="4"/>
  <c r="E63" i="4"/>
  <c r="F63" i="4" s="1"/>
  <c r="C63" i="4"/>
  <c r="E62" i="4"/>
  <c r="F62" i="4" s="1"/>
  <c r="C62" i="4"/>
  <c r="E61" i="4"/>
  <c r="F61" i="4" s="1"/>
  <c r="C61" i="4"/>
  <c r="E60" i="4"/>
  <c r="F60" i="4" s="1"/>
  <c r="C60" i="4"/>
  <c r="E59" i="4"/>
  <c r="F59" i="4" s="1"/>
  <c r="C59" i="4"/>
  <c r="E58" i="4"/>
  <c r="F58" i="4" s="1"/>
  <c r="C58" i="4"/>
  <c r="E57" i="4"/>
  <c r="F57" i="4" s="1"/>
  <c r="C57" i="4"/>
  <c r="E56" i="4"/>
  <c r="F56" i="4" s="1"/>
  <c r="C56" i="4"/>
  <c r="E55" i="4"/>
  <c r="F55" i="4" s="1"/>
  <c r="C55" i="4"/>
  <c r="E54" i="4"/>
  <c r="F54" i="4" s="1"/>
  <c r="C54" i="4"/>
  <c r="E53" i="4"/>
  <c r="F53" i="4" s="1"/>
  <c r="C53" i="4"/>
  <c r="E52" i="4"/>
  <c r="F52" i="4" s="1"/>
  <c r="C52" i="4"/>
  <c r="E51" i="4"/>
  <c r="F51" i="4" s="1"/>
  <c r="C51" i="4"/>
  <c r="E50" i="4"/>
  <c r="F50" i="4" s="1"/>
  <c r="C50" i="4"/>
  <c r="E49" i="4"/>
  <c r="F49" i="4" s="1"/>
  <c r="C49" i="4"/>
  <c r="E48" i="4"/>
  <c r="F48" i="4" s="1"/>
  <c r="C48" i="4"/>
  <c r="E47" i="4"/>
  <c r="F47" i="4" s="1"/>
  <c r="C47" i="4"/>
  <c r="E46" i="4"/>
  <c r="F46" i="4" s="1"/>
  <c r="C46" i="4"/>
  <c r="E44" i="4"/>
  <c r="F44" i="4" s="1"/>
  <c r="C44" i="4"/>
  <c r="E43" i="4"/>
  <c r="F43" i="4" s="1"/>
  <c r="C43" i="4"/>
  <c r="E42" i="4"/>
  <c r="F42" i="4" s="1"/>
  <c r="C42" i="4"/>
  <c r="E41" i="4"/>
  <c r="F41" i="4" s="1"/>
  <c r="C41" i="4"/>
  <c r="E40" i="4"/>
  <c r="F40" i="4" s="1"/>
  <c r="C40" i="4"/>
  <c r="E39" i="4"/>
  <c r="C39" i="4"/>
  <c r="E38" i="4"/>
  <c r="F38" i="4" s="1"/>
  <c r="C38" i="4"/>
  <c r="E37" i="4"/>
  <c r="F37" i="4" s="1"/>
  <c r="C37" i="4"/>
  <c r="E36" i="4"/>
  <c r="F36" i="4" s="1"/>
  <c r="C36" i="4"/>
  <c r="E35" i="4"/>
  <c r="F35" i="4" s="1"/>
  <c r="C35" i="4"/>
  <c r="E34" i="4"/>
  <c r="F34" i="4" s="1"/>
  <c r="C34" i="4"/>
  <c r="E33" i="4"/>
  <c r="F33" i="4" s="1"/>
  <c r="C33" i="4"/>
  <c r="E32" i="4"/>
  <c r="F32" i="4" s="1"/>
  <c r="C32" i="4"/>
  <c r="E31" i="4"/>
  <c r="F31" i="4" s="1"/>
  <c r="C31" i="4"/>
  <c r="E30" i="4"/>
  <c r="F30" i="4" s="1"/>
  <c r="C30" i="4"/>
  <c r="E29" i="4"/>
  <c r="F29" i="4" s="1"/>
  <c r="C29" i="4"/>
  <c r="E28" i="4"/>
  <c r="F28" i="4" s="1"/>
  <c r="C28" i="4"/>
  <c r="E27" i="4"/>
  <c r="F27" i="4" s="1"/>
  <c r="C27" i="4"/>
  <c r="E26" i="4"/>
  <c r="F26" i="4" s="1"/>
  <c r="C26" i="4"/>
  <c r="E25" i="4"/>
  <c r="F25" i="4" s="1"/>
  <c r="C25" i="4"/>
  <c r="E24" i="4"/>
  <c r="F24" i="4" s="1"/>
  <c r="C24" i="4"/>
  <c r="E23" i="4"/>
  <c r="F23" i="4" s="1"/>
  <c r="C23" i="4"/>
  <c r="E22" i="4"/>
  <c r="F22" i="4" s="1"/>
  <c r="C22" i="4"/>
  <c r="E21" i="4"/>
  <c r="F21" i="4" s="1"/>
  <c r="C21" i="4"/>
  <c r="E20" i="4"/>
  <c r="F20" i="4" s="1"/>
  <c r="C20" i="4"/>
  <c r="E19" i="4"/>
  <c r="F19" i="4" s="1"/>
  <c r="C19" i="4"/>
  <c r="E17" i="4"/>
  <c r="F17" i="4" s="1"/>
  <c r="C17" i="4"/>
  <c r="E16" i="4"/>
  <c r="F16" i="4" s="1"/>
  <c r="C16" i="4"/>
  <c r="E15" i="4"/>
  <c r="F15" i="4" s="1"/>
  <c r="C15" i="4"/>
  <c r="E14" i="4"/>
  <c r="F14" i="4" s="1"/>
  <c r="C14" i="4"/>
  <c r="E13" i="4"/>
  <c r="F13" i="4" s="1"/>
  <c r="C13" i="4"/>
  <c r="E12" i="4"/>
  <c r="F12" i="4" s="1"/>
  <c r="C12" i="4"/>
  <c r="E11" i="4"/>
  <c r="F11" i="4" s="1"/>
  <c r="C11" i="4"/>
  <c r="E10" i="4"/>
  <c r="F10" i="4" s="1"/>
  <c r="C10" i="4"/>
  <c r="E9" i="4"/>
  <c r="F9" i="4" s="1"/>
  <c r="C9" i="4"/>
  <c r="E8" i="4"/>
  <c r="F8" i="4" s="1"/>
  <c r="C8" i="4"/>
  <c r="E7" i="4"/>
  <c r="F7" i="4" s="1"/>
  <c r="C7" i="4"/>
  <c r="E6" i="4"/>
  <c r="F6" i="4" s="1"/>
  <c r="C6" i="4"/>
  <c r="E5" i="4"/>
  <c r="F5" i="4" s="1"/>
  <c r="C5" i="4"/>
  <c r="E4" i="4"/>
  <c r="F4" i="4" s="1"/>
  <c r="C4" i="4"/>
  <c r="E3" i="4"/>
  <c r="F3" i="4" s="1"/>
  <c r="C3" i="4"/>
  <c r="L4" i="5" l="1"/>
  <c r="F39" i="4"/>
  <c r="C9" i="5" s="1"/>
  <c r="C8" i="5"/>
  <c r="L11" i="5"/>
  <c r="H16" i="5"/>
  <c r="E22" i="5" s="1"/>
  <c r="L15" i="5"/>
  <c r="L14" i="5"/>
  <c r="L13" i="5"/>
  <c r="L12" i="5"/>
  <c r="L10" i="5"/>
  <c r="L9" i="5"/>
  <c r="L8" i="5"/>
  <c r="L7" i="5"/>
  <c r="L6" i="5"/>
  <c r="L5" i="5"/>
  <c r="F21" i="5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I24" i="1"/>
  <c r="L1" i="1"/>
  <c r="C10" i="3"/>
  <c r="G8" i="1" s="1"/>
  <c r="C7" i="3"/>
  <c r="E4" i="3"/>
  <c r="H4" i="3" s="1"/>
  <c r="E24" i="5" l="1"/>
  <c r="F16" i="5"/>
  <c r="N16" i="5"/>
  <c r="C5" i="3"/>
  <c r="B113" i="2"/>
  <c r="B114" i="2"/>
  <c r="H21" i="3" s="1"/>
  <c r="B115" i="2"/>
  <c r="B116" i="2"/>
  <c r="B117" i="2"/>
  <c r="B118" i="2"/>
  <c r="B112" i="2"/>
  <c r="H17" i="3" s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5" i="2"/>
  <c r="C3" i="2"/>
  <c r="E4" i="2"/>
  <c r="F4" i="2" s="1"/>
  <c r="E5" i="2"/>
  <c r="F5" i="2" s="1"/>
  <c r="E6" i="2"/>
  <c r="F6" i="2" s="1"/>
  <c r="E7" i="2"/>
  <c r="F7" i="2" s="1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9" i="2"/>
  <c r="F19" i="2" s="1"/>
  <c r="E20" i="2"/>
  <c r="F20" i="2" s="1"/>
  <c r="E21" i="2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32" i="2"/>
  <c r="F32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 s="1"/>
  <c r="E39" i="2"/>
  <c r="F39" i="2" s="1"/>
  <c r="E40" i="2"/>
  <c r="F40" i="2" s="1"/>
  <c r="E41" i="2"/>
  <c r="F41" i="2" s="1"/>
  <c r="E42" i="2"/>
  <c r="F42" i="2" s="1"/>
  <c r="E43" i="2"/>
  <c r="F43" i="2" s="1"/>
  <c r="E44" i="2"/>
  <c r="F44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53" i="2"/>
  <c r="F53" i="2" s="1"/>
  <c r="E54" i="2"/>
  <c r="F54" i="2" s="1"/>
  <c r="E55" i="2"/>
  <c r="F55" i="2" s="1"/>
  <c r="E56" i="2"/>
  <c r="F56" i="2" s="1"/>
  <c r="E57" i="2"/>
  <c r="F57" i="2" s="1"/>
  <c r="E58" i="2"/>
  <c r="F58" i="2" s="1"/>
  <c r="E59" i="2"/>
  <c r="F59" i="2" s="1"/>
  <c r="E60" i="2"/>
  <c r="F60" i="2" s="1"/>
  <c r="E61" i="2"/>
  <c r="F61" i="2" s="1"/>
  <c r="E62" i="2"/>
  <c r="F62" i="2" s="1"/>
  <c r="E63" i="2"/>
  <c r="F63" i="2" s="1"/>
  <c r="E64" i="2"/>
  <c r="F64" i="2" s="1"/>
  <c r="E65" i="2"/>
  <c r="F65" i="2" s="1"/>
  <c r="E66" i="2"/>
  <c r="F66" i="2" s="1"/>
  <c r="E67" i="2"/>
  <c r="F67" i="2" s="1"/>
  <c r="E68" i="2"/>
  <c r="F68" i="2" s="1"/>
  <c r="E69" i="2"/>
  <c r="F69" i="2" s="1"/>
  <c r="E70" i="2"/>
  <c r="F70" i="2" s="1"/>
  <c r="E71" i="2"/>
  <c r="F71" i="2" s="1"/>
  <c r="E72" i="2"/>
  <c r="F72" i="2" s="1"/>
  <c r="E73" i="2"/>
  <c r="F73" i="2" s="1"/>
  <c r="E74" i="2"/>
  <c r="F74" i="2" s="1"/>
  <c r="E75" i="2"/>
  <c r="F75" i="2" s="1"/>
  <c r="E76" i="2"/>
  <c r="F76" i="2" s="1"/>
  <c r="E77" i="2"/>
  <c r="F77" i="2" s="1"/>
  <c r="E78" i="2"/>
  <c r="F78" i="2" s="1"/>
  <c r="E79" i="2"/>
  <c r="F79" i="2" s="1"/>
  <c r="E80" i="2"/>
  <c r="F80" i="2" s="1"/>
  <c r="E81" i="2"/>
  <c r="F81" i="2" s="1"/>
  <c r="E82" i="2"/>
  <c r="F82" i="2" s="1"/>
  <c r="E83" i="2"/>
  <c r="F83" i="2" s="1"/>
  <c r="E84" i="2"/>
  <c r="F84" i="2" s="1"/>
  <c r="E85" i="2"/>
  <c r="F85" i="2" s="1"/>
  <c r="E86" i="2"/>
  <c r="F86" i="2" s="1"/>
  <c r="E87" i="2"/>
  <c r="F87" i="2" s="1"/>
  <c r="E88" i="2"/>
  <c r="F88" i="2" s="1"/>
  <c r="E89" i="2"/>
  <c r="F89" i="2" s="1"/>
  <c r="E90" i="2"/>
  <c r="F90" i="2" s="1"/>
  <c r="E91" i="2"/>
  <c r="F91" i="2" s="1"/>
  <c r="E92" i="2"/>
  <c r="F92" i="2" s="1"/>
  <c r="E93" i="2"/>
  <c r="F93" i="2" s="1"/>
  <c r="E94" i="2"/>
  <c r="F94" i="2" s="1"/>
  <c r="E95" i="2"/>
  <c r="F95" i="2" s="1"/>
  <c r="E96" i="2"/>
  <c r="F96" i="2" s="1"/>
  <c r="E97" i="2"/>
  <c r="F97" i="2" s="1"/>
  <c r="E98" i="2"/>
  <c r="F98" i="2" s="1"/>
  <c r="E99" i="2"/>
  <c r="F99" i="2" s="1"/>
  <c r="E100" i="2"/>
  <c r="F100" i="2" s="1"/>
  <c r="E101" i="2"/>
  <c r="F101" i="2" s="1"/>
  <c r="E102" i="2"/>
  <c r="F102" i="2" s="1"/>
  <c r="E104" i="2"/>
  <c r="F104" i="2" s="1"/>
  <c r="E105" i="2"/>
  <c r="F105" i="2" s="1"/>
  <c r="E3" i="2"/>
  <c r="F3" i="2" s="1"/>
  <c r="N20" i="5" l="1"/>
  <c r="K50" i="4" s="1"/>
  <c r="F21" i="2"/>
  <c r="H3" i="2"/>
  <c r="H15" i="3"/>
  <c r="H9" i="3"/>
  <c r="H11" i="3"/>
  <c r="H20" i="3"/>
  <c r="H7" i="3"/>
  <c r="H19" i="3"/>
  <c r="H5" i="3"/>
  <c r="H13" i="3"/>
  <c r="H6" i="3"/>
  <c r="H10" i="3"/>
  <c r="H14" i="3"/>
  <c r="H18" i="3"/>
  <c r="H8" i="3"/>
  <c r="H12" i="3"/>
  <c r="H16" i="3"/>
  <c r="K26" i="4" l="1"/>
  <c r="K40" i="4"/>
  <c r="K30" i="4"/>
  <c r="K20" i="4"/>
  <c r="K28" i="4"/>
  <c r="K21" i="4"/>
  <c r="K13" i="4"/>
  <c r="K23" i="4"/>
  <c r="K10" i="4"/>
  <c r="K41" i="4"/>
  <c r="K38" i="4"/>
  <c r="K39" i="4"/>
  <c r="K36" i="4"/>
  <c r="K5" i="4"/>
  <c r="K11" i="4"/>
  <c r="K24" i="4"/>
  <c r="K35" i="4"/>
  <c r="K31" i="4"/>
  <c r="K27" i="4"/>
  <c r="K52" i="4"/>
  <c r="K29" i="4"/>
  <c r="K25" i="4"/>
  <c r="K19" i="4"/>
  <c r="K6" i="4"/>
  <c r="K3" i="4"/>
  <c r="K49" i="4"/>
  <c r="K34" i="4"/>
  <c r="K42" i="4"/>
  <c r="K4" i="4"/>
  <c r="K37" i="4"/>
  <c r="K43" i="4"/>
  <c r="K44" i="4"/>
  <c r="K12" i="4"/>
  <c r="K22" i="4"/>
  <c r="K51" i="4"/>
  <c r="F16" i="3"/>
  <c r="H48" i="2"/>
  <c r="H28" i="2"/>
  <c r="H50" i="2"/>
  <c r="H49" i="2"/>
  <c r="C9" i="3"/>
  <c r="E24" i="3"/>
  <c r="F21" i="3"/>
  <c r="E22" i="3"/>
  <c r="H43" i="2" s="1"/>
  <c r="K9" i="11" l="1"/>
  <c r="K46" i="11"/>
  <c r="K29" i="11"/>
  <c r="K44" i="11"/>
  <c r="K28" i="11"/>
  <c r="K17" i="11"/>
  <c r="K15" i="11"/>
  <c r="K20" i="11"/>
  <c r="K19" i="11"/>
  <c r="K16" i="11"/>
  <c r="K7" i="11"/>
  <c r="K11" i="11"/>
  <c r="K30" i="11"/>
  <c r="K10" i="11"/>
  <c r="K18" i="11"/>
  <c r="K45" i="11"/>
  <c r="K8" i="11"/>
  <c r="K43" i="11"/>
  <c r="H45" i="2"/>
  <c r="H47" i="2"/>
  <c r="H44" i="2"/>
  <c r="H46" i="2"/>
  <c r="K18" i="4"/>
  <c r="K45" i="4"/>
  <c r="K8" i="4"/>
  <c r="K16" i="4"/>
  <c r="K33" i="4"/>
  <c r="K46" i="4"/>
  <c r="K7" i="4"/>
  <c r="K17" i="4"/>
  <c r="K47" i="4"/>
  <c r="K48" i="4"/>
  <c r="K32" i="4"/>
  <c r="K14" i="4"/>
  <c r="K15" i="4"/>
  <c r="K9" i="4"/>
  <c r="H4" i="2"/>
  <c r="H35" i="2"/>
  <c r="H30" i="2"/>
  <c r="H5" i="2"/>
  <c r="K6" i="1"/>
  <c r="M6" i="1"/>
  <c r="H40" i="2"/>
  <c r="H42" i="2"/>
  <c r="H41" i="2"/>
  <c r="I6" i="1"/>
  <c r="H34" i="2"/>
  <c r="H33" i="2"/>
  <c r="H12" i="2"/>
  <c r="H26" i="2"/>
  <c r="H17" i="2"/>
  <c r="H8" i="2"/>
  <c r="H24" i="2"/>
  <c r="H15" i="2"/>
  <c r="H39" i="2"/>
  <c r="H16" i="2"/>
  <c r="H23" i="2"/>
  <c r="H20" i="2"/>
  <c r="H37" i="2"/>
  <c r="H31" i="2"/>
  <c r="H21" i="2"/>
  <c r="H13" i="2"/>
  <c r="H27" i="2"/>
  <c r="H19" i="2"/>
  <c r="H10" i="2"/>
  <c r="H36" i="2"/>
  <c r="H29" i="2"/>
  <c r="H38" i="2"/>
  <c r="H32" i="2"/>
  <c r="H6" i="2"/>
  <c r="H22" i="2"/>
  <c r="H18" i="2"/>
  <c r="H11" i="2"/>
  <c r="H9" i="2"/>
  <c r="H25" i="2"/>
  <c r="H7" i="2"/>
  <c r="H14" i="2"/>
  <c r="E26" i="12" l="1"/>
  <c r="J12" i="1" s="1"/>
  <c r="E25" i="12"/>
  <c r="G12" i="1" s="1"/>
  <c r="E25" i="5"/>
  <c r="E26" i="3"/>
  <c r="E26" i="5"/>
  <c r="E25" i="3"/>
  <c r="I2" i="7" l="1"/>
  <c r="J20" i="1"/>
  <c r="G20" i="1"/>
  <c r="I5" i="7" l="1"/>
  <c r="N2" i="7" s="1"/>
  <c r="O2" i="7" l="1"/>
  <c r="M18" i="1" s="1"/>
  <c r="J18" i="1"/>
  <c r="J16" i="1"/>
  <c r="M16" i="1" l="1"/>
</calcChain>
</file>

<file path=xl/sharedStrings.xml><?xml version="1.0" encoding="utf-8"?>
<sst xmlns="http://schemas.openxmlformats.org/spreadsheetml/2006/main" count="1948" uniqueCount="940">
  <si>
    <t>Impairment</t>
  </si>
  <si>
    <t>List Data</t>
  </si>
  <si>
    <t>Impairment Code</t>
  </si>
  <si>
    <t>impairment Description</t>
  </si>
  <si>
    <t>Major Digit</t>
  </si>
  <si>
    <t>Minor Digit</t>
  </si>
  <si>
    <t>Other haemorrhagic stroke</t>
  </si>
  <si>
    <t>Stroke, Ischaemic, Left Body Involvement(Right Brain)</t>
  </si>
  <si>
    <t>Stroke, Ischaemic, Right Body Involvement(Left Brain)</t>
  </si>
  <si>
    <t>Stroke, Ischaemic, Bilateral Involvement</t>
  </si>
  <si>
    <t>Otherischaemic stroke</t>
  </si>
  <si>
    <t>Other non‐traumatic brain dysfunction</t>
  </si>
  <si>
    <t>BrainDysfunction, Traumatic, open injury</t>
  </si>
  <si>
    <t>BrainDysfunction, Traumatic, closed injury</t>
  </si>
  <si>
    <t>Neurological conditions, Parkinsonism</t>
  </si>
  <si>
    <t>Neurological conditions, Polyneuropathy</t>
  </si>
  <si>
    <t>Neurological conditions, Cerebral palsy</t>
  </si>
  <si>
    <t>Other neurological conditions</t>
  </si>
  <si>
    <t>Other non‐traumatic spinal cord dysfunction</t>
  </si>
  <si>
    <t>Spinal CordDysfunction, Traumatic, Paraplegia, incomplete</t>
  </si>
  <si>
    <t>Spinal CordDysfunction, Traumatic, Paraplegia, complete</t>
  </si>
  <si>
    <t>Othertraumatic spinal cord dysfunction</t>
  </si>
  <si>
    <t>Other non‐traumatic amputation</t>
  </si>
  <si>
    <t>Amputation of Limb, Traumatic, Single upper amputation above the elbow</t>
  </si>
  <si>
    <t>Amputation of Limb, Traumatic, Single upper amputation below the elbow</t>
  </si>
  <si>
    <t>Amputation of Limb, Traumatic, Single lower amputation above the knee</t>
  </si>
  <si>
    <t>Amputation of Limb, Traumatic, Single lower amputation below the knee</t>
  </si>
  <si>
    <t>Othertraumatic amputation</t>
  </si>
  <si>
    <t>Arthritis, Rheumatoid arthritis</t>
  </si>
  <si>
    <t>Other arthritis</t>
  </si>
  <si>
    <t>Pain, Back pain</t>
  </si>
  <si>
    <t>Pain, Extremity pain</t>
  </si>
  <si>
    <t>Pain, Multi‐site pain</t>
  </si>
  <si>
    <t>Other pain</t>
  </si>
  <si>
    <t>Orthopaedic Conditions, Fracture of pelvis</t>
  </si>
  <si>
    <t>Other orthopaedic fracture</t>
  </si>
  <si>
    <t>Post orthopaedic surgery, Bilateral hip replacement</t>
  </si>
  <si>
    <t>Post orthopaedic surgery, Bilateral knee replacement</t>
  </si>
  <si>
    <t>Other orthopaedic surgery</t>
  </si>
  <si>
    <t>Cardiac, Following recent onset of new cardiac impairment</t>
  </si>
  <si>
    <t>Cardiac, Chronic cardiac insufficiency</t>
  </si>
  <si>
    <t>Pulmonary, Chronic obstructive pulmonary disease</t>
  </si>
  <si>
    <t>Pulmonary, Lung transplant</t>
  </si>
  <si>
    <t>Other pulmonary</t>
  </si>
  <si>
    <t>Burns</t>
  </si>
  <si>
    <t>Other congenital</t>
  </si>
  <si>
    <t>Other disabling impairments. This classification should rarely be used.</t>
  </si>
  <si>
    <t>Major Multiple Trauma, Brain + spinal cord injury</t>
  </si>
  <si>
    <t>Developmental disabilities</t>
  </si>
  <si>
    <t>Cancer Rehabilitation</t>
  </si>
  <si>
    <t>FIM</t>
  </si>
  <si>
    <t>FIM Information</t>
  </si>
  <si>
    <t>List Text</t>
  </si>
  <si>
    <t>Fim Score</t>
  </si>
  <si>
    <t>Description</t>
  </si>
  <si>
    <t>Total contact assistance</t>
  </si>
  <si>
    <t>Maximal contact assistance</t>
  </si>
  <si>
    <t>Moderate contact assistance</t>
  </si>
  <si>
    <t>Minimal contact assistance</t>
  </si>
  <si>
    <t>Supervision or setup</t>
  </si>
  <si>
    <t>Modified independence</t>
  </si>
  <si>
    <t>Complete Independence</t>
  </si>
  <si>
    <t>Admission FIM score for eating</t>
  </si>
  <si>
    <t>Admission FIM score for grooming</t>
  </si>
  <si>
    <t>Admission FIM score for bathing</t>
  </si>
  <si>
    <t>Admission FIM score for dressing upper body</t>
  </si>
  <si>
    <t>Admission FIM score for dressing lower body</t>
  </si>
  <si>
    <t>Admission FIM score for toileting</t>
  </si>
  <si>
    <t>Admission FIM score for locomotion</t>
  </si>
  <si>
    <t>Admission FIM score for stairs</t>
  </si>
  <si>
    <t>Admission FIM score for comprehension</t>
  </si>
  <si>
    <t>Admission FIM score for expression</t>
  </si>
  <si>
    <t>Admission FIM score for social interaction</t>
  </si>
  <si>
    <t>Admission FIM score for memory</t>
  </si>
  <si>
    <t>Patient Age</t>
  </si>
  <si>
    <t>Admission FIM score for bladder management</t>
  </si>
  <si>
    <t>Admission FIM score for bowel management</t>
  </si>
  <si>
    <t>Admission FIM score for transfer to toilet</t>
  </si>
  <si>
    <t>Admission FIM score for transfer to shower/tub</t>
  </si>
  <si>
    <t>Admission FIM score for transfer to bed/chair/wheelchair</t>
  </si>
  <si>
    <t>Admission FIM score for problem solving</t>
  </si>
  <si>
    <t>Total Motor</t>
  </si>
  <si>
    <t>Total Cognition</t>
  </si>
  <si>
    <t>FIM Total</t>
  </si>
  <si>
    <t>Code</t>
  </si>
  <si>
    <t>Code Major Digit</t>
  </si>
  <si>
    <t>Code Minor Digit</t>
  </si>
  <si>
    <t>Age</t>
  </si>
  <si>
    <t>3-201</t>
  </si>
  <si>
    <t>Overnight Rehabilitation</t>
  </si>
  <si>
    <t>Rehabilitation, admit for assessment only</t>
  </si>
  <si>
    <t>3-202</t>
  </si>
  <si>
    <t>Brain, Neurological, Spinal &amp; Major Multiple Trauma, FIM motor 13</t>
  </si>
  <si>
    <t>3-203</t>
  </si>
  <si>
    <t>All other impairments, FIM motor 13</t>
  </si>
  <si>
    <t>3-204</t>
  </si>
  <si>
    <t>Stroke, FIM motor 63-91, FIM cognition 20-35</t>
  </si>
  <si>
    <t>3-205</t>
  </si>
  <si>
    <t>Stroke, FIM motor 63-91, FIM cognition 5-19</t>
  </si>
  <si>
    <t>3-206</t>
  </si>
  <si>
    <t>Stroke, FIM motor 47-62, FIM cognition 16-35</t>
  </si>
  <si>
    <t>3-207</t>
  </si>
  <si>
    <t>Stroke, FIM motor 47-62, FIM cognition 5-15</t>
  </si>
  <si>
    <t>3-208</t>
  </si>
  <si>
    <t>Stroke, FIM motor 14-46, age&gt;=75</t>
  </si>
  <si>
    <t>3-209</t>
  </si>
  <si>
    <t>Stroke, FIM motor 14-46, age&lt;=74</t>
  </si>
  <si>
    <t>3-210</t>
  </si>
  <si>
    <t>Brain Dysfunction, FIM motor 56-91, FIM cognition 32-35</t>
  </si>
  <si>
    <t>3-211</t>
  </si>
  <si>
    <t>Brain Dysfunction, FIM motor 56-91, FIM cognition 24-31</t>
  </si>
  <si>
    <t>3-212</t>
  </si>
  <si>
    <t>Brain Dysfunction, FIM motor 56-91, FIM cognition 20-23</t>
  </si>
  <si>
    <t>3-213</t>
  </si>
  <si>
    <t>Brain Dysfunction, FIM motor 56-91, FIM cognition 5-19</t>
  </si>
  <si>
    <t>3-214</t>
  </si>
  <si>
    <t>Brain Dysfunction, FIM motor 24-55</t>
  </si>
  <si>
    <t>3-215</t>
  </si>
  <si>
    <t>Brain Dysfunction, FIM motor 14-23</t>
  </si>
  <si>
    <t>3-216</t>
  </si>
  <si>
    <t>Neurological, FIM motor 63-91</t>
  </si>
  <si>
    <t>3-217</t>
  </si>
  <si>
    <t>Neurological, FIM motor 49-62</t>
  </si>
  <si>
    <t>3-218</t>
  </si>
  <si>
    <t>Neurological, FIM motor 18-48</t>
  </si>
  <si>
    <t>3-219</t>
  </si>
  <si>
    <t>Neurological, FIM motor 14-17</t>
  </si>
  <si>
    <t>3-220</t>
  </si>
  <si>
    <t>Spinal Cord Dysfunction, FIM motor 81-91</t>
  </si>
  <si>
    <t>3-221</t>
  </si>
  <si>
    <t>Spinal Cord Dysfunction, FIM motor 47-80</t>
  </si>
  <si>
    <t>3-222</t>
  </si>
  <si>
    <t>Spinal Cord Dysfunction, FIM motor 14-46, age&gt;=33</t>
  </si>
  <si>
    <t>3-223</t>
  </si>
  <si>
    <t>Spinal Cord Dysfunction, FIM motor 14-46, age&lt;=32</t>
  </si>
  <si>
    <t>3-224</t>
  </si>
  <si>
    <t>Amputation of limb, FIM motor 72-91</t>
  </si>
  <si>
    <t>3-225</t>
  </si>
  <si>
    <t>Amputation of limb, FIM motor 14-71</t>
  </si>
  <si>
    <t>3-226</t>
  </si>
  <si>
    <t>Pain Syndromes</t>
  </si>
  <si>
    <t>3-227</t>
  </si>
  <si>
    <t>Orthopaedic conditions, fractures, FIM motor 58-91</t>
  </si>
  <si>
    <t>3-228</t>
  </si>
  <si>
    <t>Orthopaedic conditions, fractures, FIM motor 48-57</t>
  </si>
  <si>
    <t>3-229</t>
  </si>
  <si>
    <t>Orthopaedic conditions, fractures, FIM motor 14-47, FIM cognition 19-35</t>
  </si>
  <si>
    <t>3-230</t>
  </si>
  <si>
    <t>Orthopaedic conditions, fractures, FIM motor 14-47, FIM cognition 5-18</t>
  </si>
  <si>
    <t>3-231</t>
  </si>
  <si>
    <t>Orthopaedic conditions, replacement, FIM motor 72-91</t>
  </si>
  <si>
    <t>3-232</t>
  </si>
  <si>
    <t>Orthopaedic conditions, replacement, FIM motor 49-71</t>
  </si>
  <si>
    <t>3-233</t>
  </si>
  <si>
    <t>Orthopaedic conditions, replacement, FIM motor 14-48</t>
  </si>
  <si>
    <t>3-234</t>
  </si>
  <si>
    <t>Orthopaedic conditions, all other, FIM motor 68-91</t>
  </si>
  <si>
    <t>3-235</t>
  </si>
  <si>
    <t>Orthopaedic conditions, all other, FIM motor 53-67</t>
  </si>
  <si>
    <t>3-236</t>
  </si>
  <si>
    <t>Orthopaedic conditions, all other, FIM motor 14-52</t>
  </si>
  <si>
    <t>3-237</t>
  </si>
  <si>
    <t>Cardiac</t>
  </si>
  <si>
    <t>3-238</t>
  </si>
  <si>
    <t>Major Multiple Trauma, FIM total 101-126</t>
  </si>
  <si>
    <t>3-239</t>
  </si>
  <si>
    <t>Major Multiple Trauma, FIM total 74-100 or Burns</t>
  </si>
  <si>
    <t>3-240</t>
  </si>
  <si>
    <t>Major Multiple Trauma, FIM total 44-73</t>
  </si>
  <si>
    <t>3-241</t>
  </si>
  <si>
    <t>Major Multiple Trauma, FIM total 19-43</t>
  </si>
  <si>
    <t>3-242</t>
  </si>
  <si>
    <t>All other impairments, FIM motor 67-91</t>
  </si>
  <si>
    <t>3-243</t>
  </si>
  <si>
    <t>All other impairments, FIM motor 53-66</t>
  </si>
  <si>
    <t>3-244</t>
  </si>
  <si>
    <t>All other impairments, FIM motor 25-52</t>
  </si>
  <si>
    <t>3-245</t>
  </si>
  <si>
    <t>All other impairments, FIM motor 14-24</t>
  </si>
  <si>
    <t>3-251</t>
  </si>
  <si>
    <t>Same Day Rehabilitation</t>
  </si>
  <si>
    <t>Brain, Major Multiple Trauma &amp; Pulmonary</t>
  </si>
  <si>
    <t>3-252</t>
  </si>
  <si>
    <t>Burns, Cardiac, Pain, Spine, &amp; Neurological</t>
  </si>
  <si>
    <t>3-253</t>
  </si>
  <si>
    <t>All other impairments</t>
  </si>
  <si>
    <t>3-254</t>
  </si>
  <si>
    <t>Outpatient &amp; Community Rehabilitation</t>
  </si>
  <si>
    <t>Outpatient and community rehabilitation, medical assessment only</t>
  </si>
  <si>
    <t>3-255</t>
  </si>
  <si>
    <t>Outpatient and community rehabilitation, multidisciplinary assessment</t>
  </si>
  <si>
    <t>3-256</t>
  </si>
  <si>
    <t>Outpatient and community rehabilitation, medical treatment only</t>
  </si>
  <si>
    <t>3-257</t>
  </si>
  <si>
    <t>Amputation</t>
  </si>
  <si>
    <t>3-258</t>
  </si>
  <si>
    <t>Brain Injury and Major Multiple Trauma</t>
  </si>
  <si>
    <t>3-259</t>
  </si>
  <si>
    <t>Spinal Injury</t>
  </si>
  <si>
    <t>3-260</t>
  </si>
  <si>
    <t>Stroke and Development Disability, sole practitioner</t>
  </si>
  <si>
    <t>3-261</t>
  </si>
  <si>
    <t>Stroke and Development Disability, multidisciplinary, FIM motor &lt;=80</t>
  </si>
  <si>
    <t>3-262</t>
  </si>
  <si>
    <t>Stroke and Development Disability, multidisciplinary, FIM motor &gt;=81</t>
  </si>
  <si>
    <t>3-263</t>
  </si>
  <si>
    <t>All other impairments, sole practitioner</t>
  </si>
  <si>
    <t>3-264</t>
  </si>
  <si>
    <t>All other impairments, multidisciplinary, FIM motor &lt;=80</t>
  </si>
  <si>
    <t>3-265</t>
  </si>
  <si>
    <t>All other impairments, multidisciplinary, FIM motor &gt;=81</t>
  </si>
  <si>
    <t>Indicator</t>
  </si>
  <si>
    <t>Rehab Type</t>
  </si>
  <si>
    <t>Value</t>
  </si>
  <si>
    <t>Yes</t>
  </si>
  <si>
    <t>No</t>
  </si>
  <si>
    <t>Assess Only</t>
  </si>
  <si>
    <t>Other Multiple trauma</t>
  </si>
  <si>
    <t>Details</t>
  </si>
  <si>
    <t>v3 AN-SNAP</t>
  </si>
  <si>
    <t>Data Complete Check</t>
  </si>
  <si>
    <t>FIM Motor</t>
  </si>
  <si>
    <t>FIM Cognition</t>
  </si>
  <si>
    <t>Check Each</t>
  </si>
  <si>
    <t>Notes</t>
  </si>
  <si>
    <t>Score 1-7</t>
  </si>
  <si>
    <t>y</t>
  </si>
  <si>
    <t>Assessment only ('y'/'n')</t>
  </si>
  <si>
    <t>no</t>
  </si>
  <si>
    <t>yes</t>
  </si>
  <si>
    <t>n</t>
  </si>
  <si>
    <t>N</t>
  </si>
  <si>
    <t>Y</t>
  </si>
  <si>
    <t>AROC Impairment Code 'X.XX'</t>
  </si>
  <si>
    <t>Code Desc</t>
  </si>
  <si>
    <t xml:space="preserve">For coding methodology and impairment codes, please visit the </t>
  </si>
  <si>
    <t>Eating</t>
  </si>
  <si>
    <t>Grooming</t>
  </si>
  <si>
    <t>Bathing</t>
  </si>
  <si>
    <t>Dressing upper body</t>
  </si>
  <si>
    <t>Dressing lower body</t>
  </si>
  <si>
    <t>Toileting</t>
  </si>
  <si>
    <t>Transfer to bed/chair/wheelchair</t>
  </si>
  <si>
    <t>Transfer to toilet</t>
  </si>
  <si>
    <t>Transfer to shower/tub</t>
  </si>
  <si>
    <t>Locomotion</t>
  </si>
  <si>
    <t>Stairs</t>
  </si>
  <si>
    <t>Comprehension</t>
  </si>
  <si>
    <t>Expression</t>
  </si>
  <si>
    <t>Social interaction</t>
  </si>
  <si>
    <t>Admission FIM Score for:</t>
  </si>
  <si>
    <t>Problem solving</t>
  </si>
  <si>
    <t>Memory</t>
  </si>
  <si>
    <t>Bladder management</t>
  </si>
  <si>
    <t>Bowel management</t>
  </si>
  <si>
    <t>WFIMLookupCode</t>
  </si>
  <si>
    <t>4AZ1</t>
  </si>
  <si>
    <t>4AZ2</t>
  </si>
  <si>
    <t>4AZ3</t>
  </si>
  <si>
    <t>4AZ4</t>
  </si>
  <si>
    <t>W.FIM.Low.Grouping</t>
  </si>
  <si>
    <t>W.FIM.High.Grouping</t>
  </si>
  <si>
    <t>A</t>
  </si>
  <si>
    <t>B</t>
  </si>
  <si>
    <t>C</t>
  </si>
  <si>
    <t>D</t>
  </si>
  <si>
    <t>E</t>
  </si>
  <si>
    <t>H</t>
  </si>
  <si>
    <t>P</t>
  </si>
  <si>
    <t>R</t>
  </si>
  <si>
    <t>4AA1</t>
  </si>
  <si>
    <t>v4 AN-SNAP</t>
  </si>
  <si>
    <t>Weighted FIM motor score 13-18, Brain, Spine, MMT, Age ≥ 49</t>
  </si>
  <si>
    <t>Weighted FIM motor score 13-18, Brain, Spine, MMT, Age ≤ 48</t>
  </si>
  <si>
    <t>Weighted FIM motor score 13-18, All other impairments, Age ≥ 65</t>
  </si>
  <si>
    <t>Weighted FIM motor score 13-18, All other impairments, Age ≤ 64</t>
  </si>
  <si>
    <t>Stroke, weighted FIM motor 51-91, FIM cognition 29-35</t>
  </si>
  <si>
    <t>4AA2</t>
  </si>
  <si>
    <t>Stroke, weighted FIM motor 51-91, FIM cognition 19-28</t>
  </si>
  <si>
    <t>4AA3</t>
  </si>
  <si>
    <t>Stroke, weighted FIM motor 51-91, FIM cognition 5-18</t>
  </si>
  <si>
    <t>4AA4</t>
  </si>
  <si>
    <t>Stroke, weighted FIM motor 36-50, Age ≥ 68</t>
  </si>
  <si>
    <t>4AA5</t>
  </si>
  <si>
    <t>Stroke, weighted FIM motor 36-50, Age ≤ 67</t>
  </si>
  <si>
    <t>4AA6</t>
  </si>
  <si>
    <t>Stroke, weighted FIM motor 19-35, Age ≥ 68</t>
  </si>
  <si>
    <t>4AA7</t>
  </si>
  <si>
    <t>Stroke, weighted FIM motor 19-35, Age ≤ 67</t>
  </si>
  <si>
    <t>4AB1</t>
  </si>
  <si>
    <t>Brain dysfunction, weighted FIM motor 71-91, FIM cognition 26-35</t>
  </si>
  <si>
    <t>4AB2</t>
  </si>
  <si>
    <t>Brain dysfunction, weighted FIM motor 71-91, FIM cognition 5-25</t>
  </si>
  <si>
    <t>4AB3</t>
  </si>
  <si>
    <t>Brain dysfunction, weighted FIM motor 41-70, FIM cognition 26-35</t>
  </si>
  <si>
    <t>4AB4</t>
  </si>
  <si>
    <t>Brain dysfunction, weighted FIM motor 41-70, FIM cognition 17-25</t>
  </si>
  <si>
    <t>4AB5</t>
  </si>
  <si>
    <t>Brain dysfunction, weighted FIM motor 41-70, FIM cognition 5-16</t>
  </si>
  <si>
    <t>4AB6</t>
  </si>
  <si>
    <t>Brain dysfunction, weighted FIM motor 29-40</t>
  </si>
  <si>
    <t>4AB7</t>
  </si>
  <si>
    <t>Brain dysfunction, weighted FIM motor 19-28</t>
  </si>
  <si>
    <t>4AC1</t>
  </si>
  <si>
    <t>Neurological conditions, weighted FIM motor 62-91</t>
  </si>
  <si>
    <t>4AC2</t>
  </si>
  <si>
    <t>Neurological conditions, weighted FIM motor 43-61</t>
  </si>
  <si>
    <t>4AC3</t>
  </si>
  <si>
    <t>Neurological conditions, weighted FIM motor 19-42</t>
  </si>
  <si>
    <t>4AD1</t>
  </si>
  <si>
    <t>Spinal cord dysfunction, Age ≥ 50, weighted FIM motor 42-91</t>
  </si>
  <si>
    <t>4AD2</t>
  </si>
  <si>
    <t>Spinal cord dysfunction, Age ≥ 50, weighted FIM motor 19-41</t>
  </si>
  <si>
    <t>4AD3</t>
  </si>
  <si>
    <t>Spinal cord dysfunction, Age ≤ 49, weighted FIM motor 34-91</t>
  </si>
  <si>
    <t>4AD4</t>
  </si>
  <si>
    <t>Spinal cord dysfunction, Age ≤ 49, weighted FIM motor 19-33</t>
  </si>
  <si>
    <t>4AE1</t>
  </si>
  <si>
    <t>Amputation of limb, Age ≥ 54, weighted FIM motor 68-91</t>
  </si>
  <si>
    <t>4AE2</t>
  </si>
  <si>
    <t>Amputation of limb, Age ≥ 54, weighted FIM motor 31-67</t>
  </si>
  <si>
    <t>4AE3</t>
  </si>
  <si>
    <t>Amputation of limb, Age ≥ 54, weighted FIM motor 19-30</t>
  </si>
  <si>
    <t>4AE4</t>
  </si>
  <si>
    <t>Amputation of limb, Age ≤ 53, weighted FIM motor 19-91</t>
  </si>
  <si>
    <t>4AH1</t>
  </si>
  <si>
    <t>Orthopaedic conditions, fractures, weighted FIM motor 49-91, FIM cognition 33-35</t>
  </si>
  <si>
    <t>4AH2</t>
  </si>
  <si>
    <t>Orthopaedic conditions, fractures, weighted FIM motor 49-91, FIM cognition 5-32</t>
  </si>
  <si>
    <t>4AH3</t>
  </si>
  <si>
    <t>Orthopaedic conditions, fractures, weighted FIM motor 38-48</t>
  </si>
  <si>
    <t>4AH4</t>
  </si>
  <si>
    <t>Orthopaedic conditions, fractures, weighted FIM motor 19-37</t>
  </si>
  <si>
    <t>4A21</t>
  </si>
  <si>
    <t>Orthopaedic conditions, all other, weighted FIM motor 68-91</t>
  </si>
  <si>
    <t>4A22</t>
  </si>
  <si>
    <t>Orthopaedic conditions, all other, weighted FIM motor 50-67</t>
  </si>
  <si>
    <t>4A23</t>
  </si>
  <si>
    <t>Orthopaedic conditions, all other, weighted FIM motor 19-49</t>
  </si>
  <si>
    <t>4A31</t>
  </si>
  <si>
    <t>Cardiac, Pain syndromes, Pulmonary, weighted FIM motor 72-91</t>
  </si>
  <si>
    <t>4A32</t>
  </si>
  <si>
    <t>Cardiac, Pain syndromes, Pulmonary, weighted FIM motor 55-71</t>
  </si>
  <si>
    <t>4A33</t>
  </si>
  <si>
    <t>Cardiac, Pain syndromes, Pulmonary, weighted FIM motor 34-54</t>
  </si>
  <si>
    <t>4A34</t>
  </si>
  <si>
    <t>Cardiac, Pain syndromes, Pulmonary, weighted FIM motor 19-33</t>
  </si>
  <si>
    <t>4AP1</t>
  </si>
  <si>
    <t>Major Multiple Trauma, weighted FIM motor 19-91</t>
  </si>
  <si>
    <t>4AR1</t>
  </si>
  <si>
    <t>Reconditioning, weighted FIM motor 67-91</t>
  </si>
  <si>
    <t>4AR2</t>
  </si>
  <si>
    <t>Reconditioning, weighted FIM motor 50-66, FIM cognition 26-35</t>
  </si>
  <si>
    <t>4AR3</t>
  </si>
  <si>
    <t>Reconditioning, weighted FIM motor 50-66, FIM cognition 5-25</t>
  </si>
  <si>
    <t>4AR4</t>
  </si>
  <si>
    <t>Reconditioning, weighted FIM motor 34-49, FIM cognition 31-35</t>
  </si>
  <si>
    <t>4AR5</t>
  </si>
  <si>
    <t>Reconditioning, weighted FIM motor 34-49, FIM cognition 5-30</t>
  </si>
  <si>
    <t>4AR6</t>
  </si>
  <si>
    <t>Reconditioning, weighted FIM motor 19-33</t>
  </si>
  <si>
    <t>4A91</t>
  </si>
  <si>
    <t>All other impairments, weighted FIM motor 55-91</t>
  </si>
  <si>
    <t>4A92</t>
  </si>
  <si>
    <t>All other impairments, weighted FIM motor 33-54</t>
  </si>
  <si>
    <t>4A93</t>
  </si>
  <si>
    <t>All other impairments, weighted FIM motor 19-32</t>
  </si>
  <si>
    <t>499A</t>
  </si>
  <si>
    <t>Adult Overnight Rehabilitation - Ungroupable</t>
  </si>
  <si>
    <t>Adult Overnight Rehabilitation</t>
  </si>
  <si>
    <t>Impairment Group</t>
  </si>
  <si>
    <t>FIM eat</t>
  </si>
  <si>
    <t>FIM grm</t>
  </si>
  <si>
    <t>FIM bath</t>
  </si>
  <si>
    <t>FIM upp</t>
  </si>
  <si>
    <t>FIM low</t>
  </si>
  <si>
    <t>FIM toil</t>
  </si>
  <si>
    <t>FIM blad</t>
  </si>
  <si>
    <t>FIM bow</t>
  </si>
  <si>
    <t>FIM xfer</t>
  </si>
  <si>
    <t>FIM xftlt</t>
  </si>
  <si>
    <t>FIM tub</t>
  </si>
  <si>
    <t>FIMwalk</t>
  </si>
  <si>
    <t>FIM stair</t>
  </si>
  <si>
    <t>Stroke</t>
  </si>
  <si>
    <t>Brain Dys</t>
  </si>
  <si>
    <t>Neuro Conditions</t>
  </si>
  <si>
    <t>Spinal Cord Dys</t>
  </si>
  <si>
    <t>Amp of Limb</t>
  </si>
  <si>
    <t>Arthritis</t>
  </si>
  <si>
    <t>Ortho Conds - Fract</t>
  </si>
  <si>
    <t>Ortho Cond - Repl</t>
  </si>
  <si>
    <t>Ortho Cond - Other</t>
  </si>
  <si>
    <t>Pulmonary</t>
  </si>
  <si>
    <t xml:space="preserve">Congen Deform </t>
  </si>
  <si>
    <t>Oth Disabling Imps</t>
  </si>
  <si>
    <t>MMT</t>
  </si>
  <si>
    <t>Devel Disabs</t>
  </si>
  <si>
    <t>Reconditioning</t>
  </si>
  <si>
    <t>Fim Weightings</t>
  </si>
  <si>
    <t>W.FIM.Lookup Code</t>
  </si>
  <si>
    <t>Weighted FIM</t>
  </si>
  <si>
    <t>Total Weighted Motor</t>
  </si>
  <si>
    <t>Rounded W.Motor Total</t>
  </si>
  <si>
    <t>Neurological conditions, Multiple sclerosis</t>
  </si>
  <si>
    <t>Amputation of Limb, Non traumatic, Double lower amputation below the knee</t>
  </si>
  <si>
    <t>AU</t>
  </si>
  <si>
    <t>NZ</t>
  </si>
  <si>
    <t>Country ('AU'/'NZ')</t>
  </si>
  <si>
    <t>BenchmarkIndexID</t>
  </si>
  <si>
    <t>SnapValueString</t>
  </si>
  <si>
    <t>ImpairmentCasemixGroup</t>
  </si>
  <si>
    <t>Grouped_Lookup</t>
  </si>
  <si>
    <t>ExpectedLOS</t>
  </si>
  <si>
    <t>ExpectedFIMChange</t>
  </si>
  <si>
    <t>LOS</t>
  </si>
  <si>
    <t>Stroke, Haemorrhagic, No Paresis</t>
  </si>
  <si>
    <t>Stroke, Haemorrhagic, Left Body Involvement(Right Brain)</t>
  </si>
  <si>
    <t>Stroke, Haemorrhagic, Right Body Involvement(Left Brain)</t>
  </si>
  <si>
    <t>Stroke, Haemorrhagic, Bilateral Involvement</t>
  </si>
  <si>
    <t>BrainDysfunction, Non traumatic, Anoxic brain damage</t>
  </si>
  <si>
    <t>BrainDysfunction, Non traumatic, subarachnoid haemorrhage</t>
  </si>
  <si>
    <t>Neurological conditions, Guillian‐Barre</t>
  </si>
  <si>
    <t>Neurological conditions, Neuromuscular disorders</t>
  </si>
  <si>
    <t>Spinal CordDysfunction, Non‐traumatic, Paraplegia, incomplete</t>
  </si>
  <si>
    <t>Spinal CordDysfunction, Non‐traumatic, Paraplegia, complete</t>
  </si>
  <si>
    <t>Spinal CordDysfunction, Non‐traumatic, Quadriplegia incomplete C1‐4</t>
  </si>
  <si>
    <t>Spinal CordDysfunction, Non‐traumatic, Quadriplegia incomplete C5‐8</t>
  </si>
  <si>
    <t>Spinal CordDysfunction, Non‐traumatic, Quadriplegia complete C1‐4</t>
  </si>
  <si>
    <t>Spinal CordDysfunction, Non‐traumatic, Quadriplegia complete C5‐8</t>
  </si>
  <si>
    <t>Spinal CordDysfunction, Traumatic, Quadriplegia incomplete C1‐4</t>
  </si>
  <si>
    <t>Spinal CordDysfunction, Traumatic, Quadriplegia incomplete C5‐8</t>
  </si>
  <si>
    <t>Spinal CordDysfunction, Traumatic, Quadriplegia complete C1‐4</t>
  </si>
  <si>
    <t>Spinal CordDysfunction, Traumatic, Quadriplegia complete C5‐8</t>
  </si>
  <si>
    <t>Amputation of Limb, Non traumatic, Single upper amputation above the elbow</t>
  </si>
  <si>
    <t>Amputation of Limb, Non traumatic, Single upper amputation below the elbow</t>
  </si>
  <si>
    <t>Amputation of Limb, Non traumatic, Single lower amputation above the knee</t>
  </si>
  <si>
    <t>Amputation of Limb, Non traumatic, Single lower amputation below the knee</t>
  </si>
  <si>
    <t>Amputation of Limb, Non traumatic, Double lower amputation above the knee</t>
  </si>
  <si>
    <t>Amputation of Limb, Non traumatic, Double lower amputation above/below the knee</t>
  </si>
  <si>
    <t>Amputation of Limb, Traumatic, Double lower amputation above the knee</t>
  </si>
  <si>
    <t>Amputation of Limb, Traumatic, Double lower amputation above/below the knee</t>
  </si>
  <si>
    <t>Amputation of Limb, Traumatic, Double lower amputation below the knee</t>
  </si>
  <si>
    <t>Arthritis, Osteoarthritis</t>
  </si>
  <si>
    <t>Amputation of Limb, Traumatic, Partial foot amputation (includes single/double)</t>
  </si>
  <si>
    <t>Amputation of Limb, Non traumatic, Partial foot amputation (includes single/double)</t>
  </si>
  <si>
    <t>Pain, Neck pain</t>
  </si>
  <si>
    <t>Pain, Headache (includes migraine)</t>
  </si>
  <si>
    <t>Orthopaedic Conditions, Fracture of hip, unilateral (includes #NOF)</t>
  </si>
  <si>
    <t>Orthopaedic Conditions, Fracture of hip, bilateral (includes #NOF)</t>
  </si>
  <si>
    <t>Orthopaedic Conditions, Fracture of shaft of femur (excludes femur involving knee joint)</t>
  </si>
  <si>
    <t>Orthopaedic Conditions, Fracture of leg, ankle, foot</t>
  </si>
  <si>
    <t>Orthopaedic Conditions, Fracture of upper limb (includes hand, fingers, wrist, forearm, arm, shoulder)</t>
  </si>
  <si>
    <t>Orthopaedic Conditions, Fracture of spine (excludes where the major disorder is pain)</t>
  </si>
  <si>
    <t>Orthopaedic Conditions, Fracture of multiple sites</t>
  </si>
  <si>
    <t>Post orthopaedic surgery, Unilateral hip replacement</t>
  </si>
  <si>
    <t>Post orthopaedic surgery, Unilateral knee replacement</t>
  </si>
  <si>
    <t>Post orthopaedic surgery, Knee and hip replacement different sides</t>
  </si>
  <si>
    <t>Post orthopaedic surgery, Shoulder replacement or repair</t>
  </si>
  <si>
    <t>Soft tissue injury</t>
  </si>
  <si>
    <t>Cardiac, Heart or heart/lung transplant</t>
  </si>
  <si>
    <t>Congenital Deformities, Spina bifida</t>
  </si>
  <si>
    <t>Other Disabling Impairments, Lymphoedema</t>
  </si>
  <si>
    <t>Other Disabling Impairments, Conversion disorder</t>
  </si>
  <si>
    <t>Major Multiple Trauma, Brain + multiple fracture/amputation</t>
  </si>
  <si>
    <t>Major Multiple Trauma, Spinal cord + multiple fracture/amputation</t>
  </si>
  <si>
    <t>Reconditioning following surgery</t>
  </si>
  <si>
    <t>Reconditioning following medical illness</t>
  </si>
  <si>
    <t>Post orthopaedic surgery, Post spinal surgery</t>
  </si>
  <si>
    <t>Post orthopaedic surgery, Knee and hip replacement same side</t>
  </si>
  <si>
    <t>Orthopaedic Conditions, Fracture of knee (includes patella, femur involving knee joint, tibia or fibula involving knee joint)</t>
  </si>
  <si>
    <t>Stroke, Ischaemic, No Paresis</t>
  </si>
  <si>
    <t>SELECT [BenchmarkIndexID], [SnapValueString], [ImpairmentCasemixGroup],</t>
  </si>
  <si>
    <t>convert (varchar,[BenchmarkIndexID]) + [SnapValueString] + convert(varchar,[ImpairmentCasemixGroup]) as 'Grouped_Lookup',</t>
  </si>
  <si>
    <t>FROM [AHSRI_AROCDataEntry].[dbo].[tbl_da_ar_Benchmark]</t>
  </si>
  <si>
    <t>where Flag_Current = 1</t>
  </si>
  <si>
    <t>AN-SNAP V4</t>
  </si>
  <si>
    <t>Update:</t>
  </si>
  <si>
    <t>Length of Stay</t>
  </si>
  <si>
    <t>FIM Change</t>
  </si>
  <si>
    <t>Other traumatic spinal cord dysfunction</t>
  </si>
  <si>
    <t>Spinal Cord Dysfunction, Non‐traumatic, Paraplegia, incomplete</t>
  </si>
  <si>
    <t>Spinal Cord Dysfunction, Non‐traumatic, Paraplegia, complete</t>
  </si>
  <si>
    <t>Spinal Cord Dysfunction, Non‐traumatic, Quadriplegia incomplete C1‐4</t>
  </si>
  <si>
    <t>Spinal Cord Dysfunction, Non‐traumatic, Quadriplegia incomplete C5‐8</t>
  </si>
  <si>
    <t>Spinal Cord Dysfunction, Non‐traumatic, Quadriplegia complete C1‐4</t>
  </si>
  <si>
    <t>Spinal Cord Dysfunction, Non‐traumatic, Quadriplegia complete C5‐8</t>
  </si>
  <si>
    <t>Spinal Cord Dysfunction, Traumatic, Paraplegia, incomplete</t>
  </si>
  <si>
    <t>Spinal Cord Dysfunction, Traumatic, Paraplegia, complete</t>
  </si>
  <si>
    <t>Spinal Cord Dysfunction, Traumatic, Quadriplegia incomplete C1‐4</t>
  </si>
  <si>
    <t>Spinal Cord Dysfunction, Traumatic, Quadriplegia incomplete C5‐8</t>
  </si>
  <si>
    <t>Spinal Cord Dysfunction, Traumatic, Quadriplegia complete C1‐4</t>
  </si>
  <si>
    <t>Spinal Cord Dysfunction, Traumatic, Quadriplegia complete C5‐8</t>
  </si>
  <si>
    <t>Discharge date</t>
  </si>
  <si>
    <t>Discharge FIM</t>
  </si>
  <si>
    <t>Patient and Episode Information</t>
  </si>
  <si>
    <t>Patient Name</t>
  </si>
  <si>
    <t>Patient Number</t>
  </si>
  <si>
    <t>Date of Birth 'DD/MM/YYYY'</t>
  </si>
  <si>
    <t>Episode Start Date 'DD/MM/YYYY'</t>
  </si>
  <si>
    <t>Enter the date when these benchmarks will be obsolete</t>
  </si>
  <si>
    <t>ROUND([ExpectedLOS],1) as 'ExpectedLOS', round([ExpectedFIMChange],1) as 'ExpectedFIMChange'</t>
  </si>
  <si>
    <t>©AROC, AHSRI 2022</t>
  </si>
  <si>
    <t>COVID</t>
  </si>
  <si>
    <t>COVID-19 with pulmonary issues</t>
  </si>
  <si>
    <t>COVID-19 with deconditioning</t>
  </si>
  <si>
    <t>COVID-19 all other</t>
  </si>
  <si>
    <t>AN-SNAP V5</t>
  </si>
  <si>
    <t>AN-SNAP VERSION 4 &amp; 5
REHABILITATION INPATIENT CLASS  CALCULATOR</t>
  </si>
  <si>
    <t>v5AN-SNAP</t>
  </si>
  <si>
    <t>Ortho Cond - post surg</t>
  </si>
  <si>
    <t>Ortho Cond - STI</t>
  </si>
  <si>
    <t>5AZ1</t>
  </si>
  <si>
    <t>5AZ2</t>
  </si>
  <si>
    <t>5AZ3</t>
  </si>
  <si>
    <t>5AZ4</t>
  </si>
  <si>
    <t>5AA1</t>
  </si>
  <si>
    <t>5AA2</t>
  </si>
  <si>
    <t>5AA3</t>
  </si>
  <si>
    <t>5AA4</t>
  </si>
  <si>
    <t>5AA5</t>
  </si>
  <si>
    <t>5AA6</t>
  </si>
  <si>
    <t>5AA7</t>
  </si>
  <si>
    <t>5AA8</t>
  </si>
  <si>
    <t>5AB1</t>
  </si>
  <si>
    <t>5AB2</t>
  </si>
  <si>
    <t>5AB3</t>
  </si>
  <si>
    <t>5AB4</t>
  </si>
  <si>
    <t>5AB5</t>
  </si>
  <si>
    <t>5AB6</t>
  </si>
  <si>
    <t>5AC1</t>
  </si>
  <si>
    <t>5AC2</t>
  </si>
  <si>
    <t>5AC3</t>
  </si>
  <si>
    <t>5AD1</t>
  </si>
  <si>
    <t>5AD2</t>
  </si>
  <si>
    <t>5AD3</t>
  </si>
  <si>
    <t>5AE1</t>
  </si>
  <si>
    <t>5AH1</t>
  </si>
  <si>
    <t>5AH2</t>
  </si>
  <si>
    <t>5AH3</t>
  </si>
  <si>
    <t>5AH4</t>
  </si>
  <si>
    <t>5A41</t>
  </si>
  <si>
    <t>5A42</t>
  </si>
  <si>
    <t>5A43</t>
  </si>
  <si>
    <t>5A21</t>
  </si>
  <si>
    <t>5A22</t>
  </si>
  <si>
    <t>5A23</t>
  </si>
  <si>
    <t>5A31</t>
  </si>
  <si>
    <t>5A32</t>
  </si>
  <si>
    <t>5A33</t>
  </si>
  <si>
    <t>5AP1</t>
  </si>
  <si>
    <t>5AP2</t>
  </si>
  <si>
    <t>5AR1</t>
  </si>
  <si>
    <t>5AR2</t>
  </si>
  <si>
    <t>5AR3</t>
  </si>
  <si>
    <t>5AR4</t>
  </si>
  <si>
    <t>5AR5</t>
  </si>
  <si>
    <t>5A91</t>
  </si>
  <si>
    <t>5A92</t>
  </si>
  <si>
    <t>5A93</t>
  </si>
  <si>
    <t>5J01</t>
  </si>
  <si>
    <t>599A</t>
  </si>
  <si>
    <t>Weighted FIM Motor score 13-18, Brain, Spine, MMT, Burns, Age &gt;= 59</t>
  </si>
  <si>
    <t>Weighted FIM Motor score 13-18, Brain, Spine, MMT, Burns, Age 18 - 58</t>
  </si>
  <si>
    <t>Weighted FIM Motor score 13-18, All other impairments, Age &gt;= 79</t>
  </si>
  <si>
    <t>Weighted FIM Motor score 13-18, All other impairments, Age 18 - 78</t>
  </si>
  <si>
    <t>Stroke, Weighted FIM Motor 63 - 91, FIM Cognition 30 - 35</t>
  </si>
  <si>
    <t>Stroke, Weighted FIM Motor 63 - 91, FIM Cognition 21 - 29</t>
  </si>
  <si>
    <t>Stroke, Weighted FIM Motor 63 - 91, FIM Cognition 5 - 20</t>
  </si>
  <si>
    <t>Stroke, Weighted FIM Motor 44 - 62, FIM Cognition 18 - 35</t>
  </si>
  <si>
    <t>Stroke, Weighted FIM Motor 44 - 62, FIM Cognition 5 - 17</t>
  </si>
  <si>
    <t>Stroke, Weighted FIM Motor 19 - 43, Age &gt;= 80</t>
  </si>
  <si>
    <t>Stroke, Weighted FIM Motor 19 - 43, Age 67 - 79</t>
  </si>
  <si>
    <t>Stroke, Weighted FIM Motor 19 - 43 Age 18 - 66</t>
  </si>
  <si>
    <t>Brain dysfunction, FIM Cognition 27 - 35 Weighted FIM Motor 59 - 91</t>
  </si>
  <si>
    <t>Brain dysfunction, FIM Cognition 27 - 35 Weighted FIM Motor 19 - 58</t>
  </si>
  <si>
    <t>Brain dysfunction, FIM Cognition 19 - 26 Weighted FIM Motor 50 - 91</t>
  </si>
  <si>
    <t>Brain dysfunction, FIM Cognition 19 - 26 Weighted FIM Motor 19 - 49</t>
  </si>
  <si>
    <t>Brain dysfunction, FIM Cognition 5 - 18 Weighted FIM Motor 39 - 91</t>
  </si>
  <si>
    <t>Brain dysfunction, FIM Cognition 5 - 18 Weighted FIM Motor 19 - 38</t>
  </si>
  <si>
    <t>Neurological conditions, Weighted FIM Motor 70 - 91</t>
  </si>
  <si>
    <t>Neurological conditions, Weighted FIM Motor 50 - 69</t>
  </si>
  <si>
    <t>Neurological conditions, Weighted FIM Motor 19 - 49</t>
  </si>
  <si>
    <t>Spinal cord dysfunction, Weighted FIM Motor 55 - 91</t>
  </si>
  <si>
    <t>Spinal cord dysfunction, Weighted FIM Motor 37 - 54</t>
  </si>
  <si>
    <t>Spinal cord dysfunction, Weighted FIM Motor 19 - 36</t>
  </si>
  <si>
    <t>Orthopaedic conditions, fractures, Weighted FIM Motor 48 - 91, FIM Cognition 33 - 35</t>
  </si>
  <si>
    <t>Orthopaedic conditions, fractures, Weighted FIM Motor 48 - 91, FIM Cognition 21 - 32</t>
  </si>
  <si>
    <t>Orthopaedic conditions, fractures, Weighted FIM Motor 48 - 91, FIM Cognition 5 - 20</t>
  </si>
  <si>
    <t>Orthopaedic conditions, fractures, Weighted FIM Motor 19 - 47</t>
  </si>
  <si>
    <t>Orthopaedic conditions, replacement (knee, hip, shoulder), Weighted FIM Motor 61 - 91</t>
  </si>
  <si>
    <t>Orthopaedic conditions, replacement (knee, hip, shoulder), Weighted FIM Motor 45 - 60</t>
  </si>
  <si>
    <t>Orthopaedic conditions, replacement (knee, hip, shoulder), Weighted FIM Motor 19 - 44</t>
  </si>
  <si>
    <t>Orthopaedic conditions, all other, Weighted FIM Motor 57 - 91</t>
  </si>
  <si>
    <t>Orthopaedic conditions, all other, Weighted FIM Motor 41 - 56</t>
  </si>
  <si>
    <t>Orthopaedic conditions, all other, Weighted FIM Motor 19 - 40</t>
  </si>
  <si>
    <t>Cardiac, Pain syndromes, and Pulmonary, Weighted FIM Motor 66 - 91</t>
  </si>
  <si>
    <t>Cardiac, Pain syndromes, and Pulmonary, Weighted FIM Motor 38 - 65</t>
  </si>
  <si>
    <t>Cardiac, Pain syndromes, and Pulmonary, Weighted FIM Motor 19 - 37</t>
  </si>
  <si>
    <t>Major Multiple Trauma, Weighted FIM Motor 51 - 91</t>
  </si>
  <si>
    <t>Major Multiple Trauma, Weighted FIM Motor 19 - 50</t>
  </si>
  <si>
    <t>Reconditioning, Weighted FIM Motor 64 - 91, FIM Cognition 29 - 35</t>
  </si>
  <si>
    <t>Reconditioning, Weighted FIM Motor 64 - 91, FIM Cognition 5 - 28</t>
  </si>
  <si>
    <t>Reconditioning, Weighted FIM Motor 48 - 63, FIM Cognition 19 - 35</t>
  </si>
  <si>
    <t>Reconditioning, Weighted FIM Motor 48 - 63, FIM Cognition 5 - 18</t>
  </si>
  <si>
    <t>Reconditioning, Weighted FIM Motor 19 - 47</t>
  </si>
  <si>
    <t>All other impairments, Weighted FIM Motor 61 - 91</t>
  </si>
  <si>
    <t>All other impairments, Weighted FIM Motor 42 - 60</t>
  </si>
  <si>
    <t>All other impairments, Weighted FIM Motor 19 - 41</t>
  </si>
  <si>
    <t>Adult Same-Day Rehabilitation</t>
  </si>
  <si>
    <t>Adult Rehabilitation - Ungroupable</t>
  </si>
  <si>
    <t>and SnapVersion = 5</t>
  </si>
  <si>
    <t>Amputation of limb, Weighted FIM Motor 19-91</t>
  </si>
  <si>
    <t>15AZ45</t>
  </si>
  <si>
    <t>15AA71</t>
  </si>
  <si>
    <t>15AH3-1</t>
  </si>
  <si>
    <t>35AP142</t>
  </si>
  <si>
    <t>35A92-1</t>
  </si>
  <si>
    <t>15A235</t>
  </si>
  <si>
    <t>15AZ242</t>
  </si>
  <si>
    <t>15AA11</t>
  </si>
  <si>
    <t>35AC3-1</t>
  </si>
  <si>
    <t>15AH4-1</t>
  </si>
  <si>
    <t>15A328</t>
  </si>
  <si>
    <t>15AP29</t>
  </si>
  <si>
    <t>15A326</t>
  </si>
  <si>
    <t>35AE1-1</t>
  </si>
  <si>
    <t>15AB321</t>
  </si>
  <si>
    <t>15AZ142</t>
  </si>
  <si>
    <t>15AB622</t>
  </si>
  <si>
    <t>15A327</t>
  </si>
  <si>
    <t>35A42-1</t>
  </si>
  <si>
    <t>35AB221</t>
  </si>
  <si>
    <t>35AH3-1</t>
  </si>
  <si>
    <t>15AZ43</t>
  </si>
  <si>
    <t>35AZ122</t>
  </si>
  <si>
    <t>15A317</t>
  </si>
  <si>
    <t>15AC1-1</t>
  </si>
  <si>
    <t>35A93-1</t>
  </si>
  <si>
    <t>35AD242</t>
  </si>
  <si>
    <t>15A91-1</t>
  </si>
  <si>
    <t>35AA31</t>
  </si>
  <si>
    <t>15AZ48</t>
  </si>
  <si>
    <t>15AZ222</t>
  </si>
  <si>
    <t>15AP242</t>
  </si>
  <si>
    <t>15AB121</t>
  </si>
  <si>
    <t>35A43-1</t>
  </si>
  <si>
    <t>35AB521</t>
  </si>
  <si>
    <t>35AD142</t>
  </si>
  <si>
    <t>35AA21</t>
  </si>
  <si>
    <t>35AZ222</t>
  </si>
  <si>
    <t>15A93-1</t>
  </si>
  <si>
    <t>35AZ142</t>
  </si>
  <si>
    <t>35AR2-1</t>
  </si>
  <si>
    <t>15A225</t>
  </si>
  <si>
    <t>15A338</t>
  </si>
  <si>
    <t>15AZ47</t>
  </si>
  <si>
    <t>15AR2-1</t>
  </si>
  <si>
    <t>15AP222</t>
  </si>
  <si>
    <t>35AB122</t>
  </si>
  <si>
    <t>35AD342</t>
  </si>
  <si>
    <t>15A92-1</t>
  </si>
  <si>
    <t>35AZ241</t>
  </si>
  <si>
    <t>35AC1-1</t>
  </si>
  <si>
    <t>35AZ41</t>
  </si>
  <si>
    <t>35AB621</t>
  </si>
  <si>
    <t>35AA81</t>
  </si>
  <si>
    <t>35A33-1</t>
  </si>
  <si>
    <t>15AZ1-1</t>
  </si>
  <si>
    <t>35AR1-1</t>
  </si>
  <si>
    <t>15AD241</t>
  </si>
  <si>
    <t>35AB321</t>
  </si>
  <si>
    <t>35AP122</t>
  </si>
  <si>
    <t>35A31-1</t>
  </si>
  <si>
    <t>35AA41</t>
  </si>
  <si>
    <t>35AP2-1</t>
  </si>
  <si>
    <t>35AB522</t>
  </si>
  <si>
    <t>35AB421</t>
  </si>
  <si>
    <t>35AZ4-1</t>
  </si>
  <si>
    <t>15AC3-1</t>
  </si>
  <si>
    <t>15A214</t>
  </si>
  <si>
    <t>35AB622</t>
  </si>
  <si>
    <t>15AD341</t>
  </si>
  <si>
    <t>35AD241</t>
  </si>
  <si>
    <t>35AA51</t>
  </si>
  <si>
    <t>35A32-1</t>
  </si>
  <si>
    <t>15AC2-1</t>
  </si>
  <si>
    <t>35A91-1</t>
  </si>
  <si>
    <t>15AZ41</t>
  </si>
  <si>
    <t>15AD342</t>
  </si>
  <si>
    <t>15AR3-1</t>
  </si>
  <si>
    <t>15AZ241</t>
  </si>
  <si>
    <t>35AD141</t>
  </si>
  <si>
    <t>35AB222</t>
  </si>
  <si>
    <t>15A433</t>
  </si>
  <si>
    <t>15AA81</t>
  </si>
  <si>
    <t>35AH2-1</t>
  </si>
  <si>
    <t>35AA71</t>
  </si>
  <si>
    <t>15AD242</t>
  </si>
  <si>
    <t>15AH1-1</t>
  </si>
  <si>
    <t>15AZ122</t>
  </si>
  <si>
    <t>15AB421</t>
  </si>
  <si>
    <t>15AZ29</t>
  </si>
  <si>
    <t>35AR5-1</t>
  </si>
  <si>
    <t>15AZ38</t>
  </si>
  <si>
    <t>15AR1-1</t>
  </si>
  <si>
    <t>15AZ44</t>
  </si>
  <si>
    <t>35AC2-1</t>
  </si>
  <si>
    <t>35AP222</t>
  </si>
  <si>
    <t>35AZ242</t>
  </si>
  <si>
    <t>15AD142</t>
  </si>
  <si>
    <t>15AB422</t>
  </si>
  <si>
    <t>35AD341</t>
  </si>
  <si>
    <t>15AP19</t>
  </si>
  <si>
    <t>15A316</t>
  </si>
  <si>
    <t>15AR4-1</t>
  </si>
  <si>
    <t>35AR4-1</t>
  </si>
  <si>
    <t>35AZ3-1</t>
  </si>
  <si>
    <t>15AP142</t>
  </si>
  <si>
    <t>15AZ33</t>
  </si>
  <si>
    <t>15A413</t>
  </si>
  <si>
    <t>15AZ31</t>
  </si>
  <si>
    <t>15A215</t>
  </si>
  <si>
    <t>15AA61</t>
  </si>
  <si>
    <t>15AZ34</t>
  </si>
  <si>
    <t>15AH2-1</t>
  </si>
  <si>
    <t>15AZ19</t>
  </si>
  <si>
    <t>15AD141</t>
  </si>
  <si>
    <t>15A318</t>
  </si>
  <si>
    <t>15A337</t>
  </si>
  <si>
    <t>15A224</t>
  </si>
  <si>
    <t>35AH1-1</t>
  </si>
  <si>
    <t>35AB121</t>
  </si>
  <si>
    <t>15A234</t>
  </si>
  <si>
    <t>35A22-1</t>
  </si>
  <si>
    <t>35AZ121</t>
  </si>
  <si>
    <t>15AR5-1</t>
  </si>
  <si>
    <t>15AZ46</t>
  </si>
  <si>
    <t>15AB222</t>
  </si>
  <si>
    <t>35AZ141</t>
  </si>
  <si>
    <t>15A423</t>
  </si>
  <si>
    <t>35A21-1</t>
  </si>
  <si>
    <t>15AZ121</t>
  </si>
  <si>
    <t>15AA51</t>
  </si>
  <si>
    <t>35AP242</t>
  </si>
  <si>
    <t>35A23-1</t>
  </si>
  <si>
    <t>15AB322</t>
  </si>
  <si>
    <t>35AH4-1</t>
  </si>
  <si>
    <t>15AP122</t>
  </si>
  <si>
    <t>15AB621</t>
  </si>
  <si>
    <t>15AA31</t>
  </si>
  <si>
    <t>35AZ31</t>
  </si>
  <si>
    <t>15AA21</t>
  </si>
  <si>
    <t>35A41-1</t>
  </si>
  <si>
    <t>15AB521</t>
  </si>
  <si>
    <t>35AA11</t>
  </si>
  <si>
    <t>15AZ35</t>
  </si>
  <si>
    <t>35AB322</t>
  </si>
  <si>
    <t>35AR3-1</t>
  </si>
  <si>
    <t>15AE1-1</t>
  </si>
  <si>
    <t>15AZ221</t>
  </si>
  <si>
    <t>15AZ37</t>
  </si>
  <si>
    <t>15AZ141</t>
  </si>
  <si>
    <t>15AB122</t>
  </si>
  <si>
    <t>15AZ36</t>
  </si>
  <si>
    <t>15AZ3-1</t>
  </si>
  <si>
    <t>15AA41</t>
  </si>
  <si>
    <t>15AB522</t>
  </si>
  <si>
    <t>15A336</t>
  </si>
  <si>
    <t>15AB221</t>
  </si>
  <si>
    <t>15AZ4-1</t>
  </si>
  <si>
    <t>35AZ221</t>
  </si>
  <si>
    <t>35AB422</t>
  </si>
  <si>
    <t>35AA61</t>
  </si>
  <si>
    <t>35AZ1-1</t>
  </si>
  <si>
    <t>35AP1-1</t>
  </si>
  <si>
    <t>45AB521</t>
  </si>
  <si>
    <t>45AD242</t>
  </si>
  <si>
    <t>25AZ41</t>
  </si>
  <si>
    <t>25A318</t>
  </si>
  <si>
    <t>25AA71</t>
  </si>
  <si>
    <t>25A328</t>
  </si>
  <si>
    <t>45AC2-1</t>
  </si>
  <si>
    <t>45A33-1</t>
  </si>
  <si>
    <t>45AB421</t>
  </si>
  <si>
    <t>25AZ35</t>
  </si>
  <si>
    <t>25AZ142</t>
  </si>
  <si>
    <t>45AB522</t>
  </si>
  <si>
    <t>45AA81</t>
  </si>
  <si>
    <t>25A337</t>
  </si>
  <si>
    <t>25A317</t>
  </si>
  <si>
    <t>45AR1-1</t>
  </si>
  <si>
    <t>45AH3-1</t>
  </si>
  <si>
    <t>25AR3-1</t>
  </si>
  <si>
    <t>25AD142</t>
  </si>
  <si>
    <t>45AB422</t>
  </si>
  <si>
    <t>25AZ242</t>
  </si>
  <si>
    <t>25AB622</t>
  </si>
  <si>
    <t>25AB321</t>
  </si>
  <si>
    <t>45AZ241</t>
  </si>
  <si>
    <t>25A433</t>
  </si>
  <si>
    <t>45AZ122</t>
  </si>
  <si>
    <t>25AZ4-1</t>
  </si>
  <si>
    <t>45A92-1</t>
  </si>
  <si>
    <t>25A91-1</t>
  </si>
  <si>
    <t>45AP122</t>
  </si>
  <si>
    <t>45AP142</t>
  </si>
  <si>
    <t>25AD342</t>
  </si>
  <si>
    <t>25AB222</t>
  </si>
  <si>
    <t>25AZ48</t>
  </si>
  <si>
    <t>25AB221</t>
  </si>
  <si>
    <t>45AD141</t>
  </si>
  <si>
    <t>25A214</t>
  </si>
  <si>
    <t>45AP2-1</t>
  </si>
  <si>
    <t>45AB221</t>
  </si>
  <si>
    <t>25AZ29</t>
  </si>
  <si>
    <t>45AH1-1</t>
  </si>
  <si>
    <t>25AZ222</t>
  </si>
  <si>
    <t>25A338</t>
  </si>
  <si>
    <t>45A93-1</t>
  </si>
  <si>
    <t>45AA41</t>
  </si>
  <si>
    <t>25AC1-1</t>
  </si>
  <si>
    <t>45AE1-1</t>
  </si>
  <si>
    <t>45AB321</t>
  </si>
  <si>
    <t>25AH3-1</t>
  </si>
  <si>
    <t>45AB622</t>
  </si>
  <si>
    <t>45AD142</t>
  </si>
  <si>
    <t>25AZ1-1</t>
  </si>
  <si>
    <t>25AZ43</t>
  </si>
  <si>
    <t>45A31-1</t>
  </si>
  <si>
    <t>45AZ41</t>
  </si>
  <si>
    <t>25AP122</t>
  </si>
  <si>
    <t>25A92-1</t>
  </si>
  <si>
    <t>25A224</t>
  </si>
  <si>
    <t>25AD242</t>
  </si>
  <si>
    <t>45AB122</t>
  </si>
  <si>
    <t>25A225</t>
  </si>
  <si>
    <t>25AZ45</t>
  </si>
  <si>
    <t>45A91-1</t>
  </si>
  <si>
    <t>25AA11</t>
  </si>
  <si>
    <t>25AB122</t>
  </si>
  <si>
    <t>25A215</t>
  </si>
  <si>
    <t>25AP142</t>
  </si>
  <si>
    <t>45AB621</t>
  </si>
  <si>
    <t>25AD241</t>
  </si>
  <si>
    <t>45AB222</t>
  </si>
  <si>
    <t>25AR4-1</t>
  </si>
  <si>
    <t>45AA21</t>
  </si>
  <si>
    <t>25A316</t>
  </si>
  <si>
    <t>45AZ222</t>
  </si>
  <si>
    <t>45AC1-1</t>
  </si>
  <si>
    <t>45AA51</t>
  </si>
  <si>
    <t>25A326</t>
  </si>
  <si>
    <t>45A23-1</t>
  </si>
  <si>
    <t>25AB421</t>
  </si>
  <si>
    <t>25AZ241</t>
  </si>
  <si>
    <t>25AH1-1</t>
  </si>
  <si>
    <t>25AP29</t>
  </si>
  <si>
    <t>45AP242</t>
  </si>
  <si>
    <t>25AZ141</t>
  </si>
  <si>
    <t>25AA61</t>
  </si>
  <si>
    <t>45AR5-1</t>
  </si>
  <si>
    <t>25AZ121</t>
  </si>
  <si>
    <t>45AZ242</t>
  </si>
  <si>
    <t>25AB121</t>
  </si>
  <si>
    <t>25A327</t>
  </si>
  <si>
    <t>45AZ141</t>
  </si>
  <si>
    <t>45AZ4-1</t>
  </si>
  <si>
    <t>25A234</t>
  </si>
  <si>
    <t>25AZ37</t>
  </si>
  <si>
    <t>45A22-1</t>
  </si>
  <si>
    <t>25AZ44</t>
  </si>
  <si>
    <t>25AC3-1</t>
  </si>
  <si>
    <t>25AP19</t>
  </si>
  <si>
    <t>45AZ142</t>
  </si>
  <si>
    <t>25A413</t>
  </si>
  <si>
    <t>25A93-1</t>
  </si>
  <si>
    <t>45AZ31</t>
  </si>
  <si>
    <t>25AB322</t>
  </si>
  <si>
    <t>45AA61</t>
  </si>
  <si>
    <t>25AA51</t>
  </si>
  <si>
    <t>25A423</t>
  </si>
  <si>
    <t>25AR5-1</t>
  </si>
  <si>
    <t>25AA41</t>
  </si>
  <si>
    <t>25AZ3-1</t>
  </si>
  <si>
    <t>45AR4-1</t>
  </si>
  <si>
    <t>45AD241</t>
  </si>
  <si>
    <t>45AP1-1</t>
  </si>
  <si>
    <t>25AR1-1</t>
  </si>
  <si>
    <t>45AD342</t>
  </si>
  <si>
    <t>45AH4-1</t>
  </si>
  <si>
    <t>25AZ31</t>
  </si>
  <si>
    <t>45AZ221</t>
  </si>
  <si>
    <t>25AA81</t>
  </si>
  <si>
    <t>25AC2-1</t>
  </si>
  <si>
    <t>25A235</t>
  </si>
  <si>
    <t>25AP242</t>
  </si>
  <si>
    <t>25AR2-1</t>
  </si>
  <si>
    <t>45A21-1</t>
  </si>
  <si>
    <t>25AZ122</t>
  </si>
  <si>
    <t>45AA71</t>
  </si>
  <si>
    <t>45AZ3-1</t>
  </si>
  <si>
    <t>45AB121</t>
  </si>
  <si>
    <t>25AA31</t>
  </si>
  <si>
    <t>25AZ221</t>
  </si>
  <si>
    <t>45AD341</t>
  </si>
  <si>
    <t>25AZ38</t>
  </si>
  <si>
    <t>45AR3-1</t>
  </si>
  <si>
    <t>25AZ33</t>
  </si>
  <si>
    <t>25AP222</t>
  </si>
  <si>
    <t>45A42-1</t>
  </si>
  <si>
    <t>25AZ36</t>
  </si>
  <si>
    <t>25AH4-1</t>
  </si>
  <si>
    <t>45AA31</t>
  </si>
  <si>
    <t>45AH2-1</t>
  </si>
  <si>
    <t>25AE1-1</t>
  </si>
  <si>
    <t>25AB522</t>
  </si>
  <si>
    <t>45A32-1</t>
  </si>
  <si>
    <t>45A41-1</t>
  </si>
  <si>
    <t>25AD341</t>
  </si>
  <si>
    <t>25AZ46</t>
  </si>
  <si>
    <t>25A336</t>
  </si>
  <si>
    <t>25AZ34</t>
  </si>
  <si>
    <t>45AZ1-1</t>
  </si>
  <si>
    <t>25AZ19</t>
  </si>
  <si>
    <t>45AA11</t>
  </si>
  <si>
    <t>45AC3-1</t>
  </si>
  <si>
    <t>25AD141</t>
  </si>
  <si>
    <t>45AP222</t>
  </si>
  <si>
    <t>45AZ121</t>
  </si>
  <si>
    <t>45AR2-1</t>
  </si>
  <si>
    <t>25AB521</t>
  </si>
  <si>
    <t>25AZ47</t>
  </si>
  <si>
    <t>25AA21</t>
  </si>
  <si>
    <t>25AB422</t>
  </si>
  <si>
    <t>45A43-1</t>
  </si>
  <si>
    <t>45AB322</t>
  </si>
  <si>
    <t>25AH2-1</t>
  </si>
  <si>
    <t>25AB621</t>
  </si>
  <si>
    <t>Calendar Year 2023 Benchmarks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</si>
</sst>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Flamauow Book"/>
      <family val="3"/>
    </font>
    <font>
      <sz val="14"/>
      <color theme="1"/>
      <name val="Flamauow Book"/>
      <family val="3"/>
    </font>
    <font>
      <u/>
      <sz val="11"/>
      <color theme="10"/>
      <name val="Calibri"/>
      <family val="2"/>
      <scheme val="minor"/>
    </font>
    <font>
      <sz val="10"/>
      <color theme="1"/>
      <name val="Flamauow Book"/>
      <family val="3"/>
    </font>
    <font>
      <b/>
      <sz val="14"/>
      <color theme="1"/>
      <name val="Flamauow Book"/>
      <family val="3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Flamauow Book"/>
      <family val="3"/>
    </font>
    <font>
      <sz val="10"/>
      <name val="Arial"/>
      <family val="2"/>
    </font>
    <font>
      <sz val="1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24"/>
      <color theme="1"/>
      <name val="Arial"/>
      <family val="2"/>
    </font>
    <font>
      <b/>
      <u/>
      <sz val="11"/>
      <color theme="1" tint="0.499984740745262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1"/>
      <color theme="0"/>
      <name val="Arial"/>
      <family val="2"/>
    </font>
    <font>
      <sz val="24"/>
      <name val="Arial"/>
      <family val="2"/>
    </font>
    <font>
      <sz val="10.5"/>
      <color theme="0"/>
      <name val="Arial"/>
      <family val="2"/>
    </font>
    <font>
      <b/>
      <u/>
      <sz val="11"/>
      <name val="Arial"/>
      <family val="2"/>
    </font>
    <font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79C72"/>
        <bgColor indexed="64"/>
      </patternFill>
    </fill>
    <fill>
      <patternFill patternType="solid">
        <fgColor rgb="FFC62A35"/>
        <bgColor indexed="64"/>
      </patternFill>
    </fill>
    <fill>
      <patternFill patternType="solid">
        <fgColor rgb="FFEB6A47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137">
    <xf numFmtId="0" fontId="0" fillId="0" borderId="0" xfId="0"/>
    <xf numFmtId="0" fontId="2" fillId="3" borderId="0" xfId="0" applyFont="1" applyFill="1" applyProtection="1"/>
    <xf numFmtId="0" fontId="2" fillId="3" borderId="0" xfId="0" applyFont="1" applyFill="1" applyBorder="1" applyProtection="1"/>
    <xf numFmtId="0" fontId="7" fillId="3" borderId="0" xfId="0" applyFont="1" applyFill="1" applyBorder="1"/>
    <xf numFmtId="0" fontId="7" fillId="3" borderId="0" xfId="0" applyFont="1" applyFill="1"/>
    <xf numFmtId="0" fontId="8" fillId="3" borderId="0" xfId="0" applyFont="1" applyFill="1" applyAlignment="1">
      <alignment horizontal="center"/>
    </xf>
    <xf numFmtId="0" fontId="9" fillId="3" borderId="0" xfId="0" applyFont="1" applyFill="1"/>
    <xf numFmtId="0" fontId="10" fillId="3" borderId="0" xfId="0" applyFont="1" applyFill="1"/>
    <xf numFmtId="0" fontId="7" fillId="3" borderId="0" xfId="0" applyFont="1" applyFill="1" applyAlignment="1">
      <alignment horizontal="center"/>
    </xf>
    <xf numFmtId="0" fontId="8" fillId="3" borderId="0" xfId="0" applyFont="1" applyFill="1"/>
    <xf numFmtId="0" fontId="7" fillId="3" borderId="0" xfId="0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11" fillId="3" borderId="0" xfId="0" applyFont="1" applyFill="1" applyAlignment="1">
      <alignment horizontal="right"/>
    </xf>
    <xf numFmtId="0" fontId="7" fillId="3" borderId="0" xfId="0" applyFont="1" applyFill="1" applyBorder="1" applyProtection="1"/>
    <xf numFmtId="0" fontId="7" fillId="0" borderId="0" xfId="0" applyFont="1" applyFill="1" applyBorder="1" applyProtection="1"/>
    <xf numFmtId="0" fontId="7" fillId="3" borderId="0" xfId="0" applyFont="1" applyFill="1" applyProtection="1"/>
    <xf numFmtId="0" fontId="8" fillId="3" borderId="0" xfId="0" applyFont="1" applyFill="1" applyAlignment="1" applyProtection="1">
      <alignment horizontal="center"/>
    </xf>
    <xf numFmtId="0" fontId="9" fillId="3" borderId="0" xfId="0" applyFont="1" applyFill="1" applyProtection="1"/>
    <xf numFmtId="0" fontId="10" fillId="3" borderId="0" xfId="0" applyFont="1" applyFill="1" applyProtection="1"/>
    <xf numFmtId="0" fontId="7" fillId="3" borderId="0" xfId="0" applyFont="1" applyFill="1" applyAlignment="1" applyProtection="1">
      <alignment horizontal="center"/>
    </xf>
    <xf numFmtId="0" fontId="8" fillId="3" borderId="0" xfId="0" applyFont="1" applyFill="1" applyProtection="1"/>
    <xf numFmtId="0" fontId="7" fillId="3" borderId="0" xfId="0" applyFont="1" applyFill="1" applyAlignment="1" applyProtection="1">
      <alignment horizontal="right"/>
    </xf>
    <xf numFmtId="0" fontId="9" fillId="3" borderId="0" xfId="0" applyFont="1" applyFill="1" applyAlignment="1" applyProtection="1">
      <alignment horizontal="right"/>
    </xf>
    <xf numFmtId="0" fontId="11" fillId="3" borderId="0" xfId="0" applyFont="1" applyFill="1" applyAlignment="1" applyProtection="1">
      <alignment horizontal="right"/>
    </xf>
    <xf numFmtId="0" fontId="7" fillId="0" borderId="0" xfId="0" applyFont="1"/>
    <xf numFmtId="164" fontId="0" fillId="0" borderId="0" xfId="0" applyNumberFormat="1"/>
    <xf numFmtId="0" fontId="2" fillId="3" borderId="0" xfId="0" applyFont="1" applyFill="1" applyAlignment="1" applyProtection="1">
      <alignment horizontal="right"/>
    </xf>
    <xf numFmtId="0" fontId="6" fillId="3" borderId="0" xfId="0" applyFont="1" applyFill="1" applyBorder="1" applyProtection="1"/>
    <xf numFmtId="0" fontId="2" fillId="3" borderId="0" xfId="0" applyFont="1" applyFill="1" applyBorder="1" applyAlignment="1" applyProtection="1">
      <alignment vertical="top" wrapText="1"/>
    </xf>
    <xf numFmtId="0" fontId="5" fillId="3" borderId="0" xfId="0" applyFont="1" applyFill="1" applyBorder="1" applyProtection="1"/>
    <xf numFmtId="0" fontId="1" fillId="3" borderId="0" xfId="1" applyFill="1" applyBorder="1" applyAlignment="1" applyProtection="1">
      <alignment horizontal="left"/>
    </xf>
    <xf numFmtId="0" fontId="13" fillId="4" borderId="0" xfId="0" applyFont="1" applyFill="1"/>
    <xf numFmtId="10" fontId="0" fillId="0" borderId="0" xfId="3" applyNumberFormat="1" applyFont="1"/>
    <xf numFmtId="0" fontId="14" fillId="3" borderId="0" xfId="0" applyFont="1" applyFill="1" applyProtection="1"/>
    <xf numFmtId="0" fontId="15" fillId="3" borderId="0" xfId="0" applyFont="1" applyFill="1" applyProtection="1"/>
    <xf numFmtId="0" fontId="17" fillId="3" borderId="0" xfId="0" applyFont="1" applyFill="1" applyBorder="1" applyAlignment="1" applyProtection="1">
      <alignment horizontal="right"/>
    </xf>
    <xf numFmtId="0" fontId="18" fillId="3" borderId="1" xfId="2" applyFont="1" applyFill="1" applyBorder="1" applyAlignment="1" applyProtection="1">
      <alignment horizontal="left"/>
      <protection locked="0"/>
    </xf>
    <xf numFmtId="0" fontId="19" fillId="6" borderId="0" xfId="0" applyFont="1" applyFill="1" applyProtection="1"/>
    <xf numFmtId="0" fontId="14" fillId="6" borderId="0" xfId="0" applyFont="1" applyFill="1" applyProtection="1"/>
    <xf numFmtId="0" fontId="14" fillId="6" borderId="0" xfId="0" applyFont="1" applyFill="1" applyAlignment="1" applyProtection="1">
      <alignment horizontal="left"/>
    </xf>
    <xf numFmtId="0" fontId="18" fillId="5" borderId="9" xfId="0" applyFont="1" applyFill="1" applyBorder="1" applyProtection="1"/>
    <xf numFmtId="0" fontId="18" fillId="3" borderId="8" xfId="0" applyFont="1" applyFill="1" applyBorder="1" applyAlignment="1" applyProtection="1">
      <alignment horizontal="center"/>
      <protection locked="0"/>
    </xf>
    <xf numFmtId="0" fontId="18" fillId="5" borderId="3" xfId="0" applyFont="1" applyFill="1" applyBorder="1" applyProtection="1"/>
    <xf numFmtId="0" fontId="18" fillId="5" borderId="6" xfId="0" applyFont="1" applyFill="1" applyBorder="1" applyProtection="1"/>
    <xf numFmtId="0" fontId="18" fillId="6" borderId="0" xfId="0" applyFont="1" applyFill="1" applyProtection="1"/>
    <xf numFmtId="0" fontId="14" fillId="6" borderId="0" xfId="0" applyFont="1" applyFill="1" applyBorder="1" applyProtection="1"/>
    <xf numFmtId="0" fontId="14" fillId="3" borderId="0" xfId="0" applyFont="1" applyFill="1" applyAlignment="1" applyProtection="1">
      <alignment horizontal="right"/>
    </xf>
    <xf numFmtId="0" fontId="18" fillId="5" borderId="7" xfId="0" applyFont="1" applyFill="1" applyBorder="1" applyProtection="1"/>
    <xf numFmtId="0" fontId="18" fillId="3" borderId="1" xfId="0" applyFont="1" applyFill="1" applyBorder="1" applyAlignment="1" applyProtection="1">
      <alignment horizontal="center"/>
      <protection locked="0"/>
    </xf>
    <xf numFmtId="0" fontId="14" fillId="6" borderId="2" xfId="0" applyFont="1" applyFill="1" applyBorder="1" applyAlignment="1" applyProtection="1"/>
    <xf numFmtId="0" fontId="14" fillId="6" borderId="0" xfId="0" applyFont="1" applyFill="1" applyAlignment="1" applyProtection="1">
      <alignment horizontal="right"/>
    </xf>
    <xf numFmtId="0" fontId="14" fillId="6" borderId="0" xfId="0" applyFont="1" applyFill="1" applyAlignment="1" applyProtection="1"/>
    <xf numFmtId="0" fontId="14" fillId="3" borderId="0" xfId="0" applyFont="1" applyFill="1" applyBorder="1" applyProtection="1"/>
    <xf numFmtId="0" fontId="14" fillId="3" borderId="0" xfId="0" applyFont="1" applyFill="1" applyBorder="1" applyAlignment="1" applyProtection="1">
      <alignment horizontal="right"/>
    </xf>
    <xf numFmtId="0" fontId="27" fillId="0" borderId="0" xfId="0" applyFont="1" applyAlignment="1">
      <alignment wrapText="1"/>
    </xf>
    <xf numFmtId="14" fontId="13" fillId="4" borderId="0" xfId="0" applyNumberFormat="1" applyFont="1" applyFill="1"/>
    <xf numFmtId="0" fontId="7" fillId="4" borderId="0" xfId="0" applyFont="1" applyFill="1"/>
    <xf numFmtId="0" fontId="18" fillId="7" borderId="13" xfId="0" applyFont="1" applyFill="1" applyBorder="1" applyAlignment="1" applyProtection="1">
      <alignment horizontal="center" vertical="center"/>
    </xf>
    <xf numFmtId="0" fontId="18" fillId="7" borderId="12" xfId="0" applyFont="1" applyFill="1" applyBorder="1" applyAlignment="1" applyProtection="1">
      <alignment horizontal="center" vertical="center"/>
    </xf>
    <xf numFmtId="0" fontId="18" fillId="7" borderId="4" xfId="0" applyFont="1" applyFill="1" applyBorder="1" applyAlignment="1" applyProtection="1">
      <alignment horizontal="center" vertical="center"/>
    </xf>
    <xf numFmtId="14" fontId="18" fillId="5" borderId="4" xfId="0" applyNumberFormat="1" applyFont="1" applyFill="1" applyBorder="1" applyAlignment="1" applyProtection="1">
      <alignment horizontal="center" vertical="center"/>
    </xf>
    <xf numFmtId="14" fontId="18" fillId="5" borderId="13" xfId="0" applyNumberFormat="1" applyFont="1" applyFill="1" applyBorder="1" applyAlignment="1" applyProtection="1">
      <alignment horizontal="center" vertical="center"/>
    </xf>
    <xf numFmtId="14" fontId="18" fillId="5" borderId="12" xfId="0" applyNumberFormat="1" applyFont="1" applyFill="1" applyBorder="1" applyAlignment="1" applyProtection="1">
      <alignment horizontal="center" vertical="center"/>
    </xf>
    <xf numFmtId="0" fontId="14" fillId="3" borderId="0" xfId="0" applyFont="1" applyFill="1" applyAlignment="1" applyProtection="1">
      <alignment horizontal="left" vertical="center" wrapText="1"/>
    </xf>
    <xf numFmtId="0" fontId="21" fillId="5" borderId="14" xfId="1" applyFont="1" applyFill="1" applyBorder="1" applyAlignment="1" applyProtection="1">
      <alignment horizontal="center" vertical="center" wrapText="1"/>
    </xf>
    <xf numFmtId="0" fontId="21" fillId="5" borderId="9" xfId="1" applyFont="1" applyFill="1" applyBorder="1" applyAlignment="1" applyProtection="1">
      <alignment horizontal="center" vertical="center" wrapText="1"/>
    </xf>
    <xf numFmtId="0" fontId="21" fillId="5" borderId="15" xfId="1" applyFont="1" applyFill="1" applyBorder="1" applyAlignment="1" applyProtection="1">
      <alignment horizontal="center" vertical="center" wrapText="1"/>
    </xf>
    <xf numFmtId="0" fontId="21" fillId="5" borderId="10" xfId="1" applyFont="1" applyFill="1" applyBorder="1" applyAlignment="1" applyProtection="1">
      <alignment horizontal="center" vertical="center" wrapText="1"/>
    </xf>
    <xf numFmtId="0" fontId="17" fillId="3" borderId="11" xfId="0" applyFont="1" applyFill="1" applyBorder="1" applyAlignment="1" applyProtection="1">
      <alignment horizontal="right"/>
    </xf>
    <xf numFmtId="0" fontId="17" fillId="3" borderId="0" xfId="0" applyFont="1" applyFill="1" applyBorder="1" applyAlignment="1" applyProtection="1">
      <alignment horizontal="right"/>
    </xf>
    <xf numFmtId="0" fontId="18" fillId="3" borderId="4" xfId="0" applyFont="1" applyFill="1" applyBorder="1" applyAlignment="1" applyProtection="1">
      <alignment horizontal="left"/>
      <protection locked="0"/>
    </xf>
    <xf numFmtId="0" fontId="18" fillId="3" borderId="12" xfId="0" applyFont="1" applyFill="1" applyBorder="1" applyAlignment="1" applyProtection="1">
      <alignment horizontal="left"/>
      <protection locked="0"/>
    </xf>
    <xf numFmtId="0" fontId="16" fillId="3" borderId="0" xfId="2" applyFont="1" applyFill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right"/>
    </xf>
    <xf numFmtId="0" fontId="21" fillId="5" borderId="2" xfId="1" applyFont="1" applyFill="1" applyBorder="1" applyAlignment="1" applyProtection="1">
      <alignment horizontal="center" vertical="center" wrapText="1"/>
    </xf>
    <xf numFmtId="0" fontId="21" fillId="5" borderId="16" xfId="1" applyFont="1" applyFill="1" applyBorder="1" applyAlignment="1" applyProtection="1">
      <alignment horizontal="center" vertical="center" wrapText="1"/>
    </xf>
    <xf numFmtId="0" fontId="20" fillId="5" borderId="14" xfId="1" applyFont="1" applyFill="1" applyBorder="1" applyAlignment="1" applyProtection="1">
      <alignment horizontal="center" vertical="center" wrapText="1"/>
    </xf>
    <xf numFmtId="0" fontId="20" fillId="5" borderId="9" xfId="1" applyFont="1" applyFill="1" applyBorder="1" applyAlignment="1" applyProtection="1">
      <alignment horizontal="center" vertical="center" wrapText="1"/>
    </xf>
    <xf numFmtId="0" fontId="20" fillId="5" borderId="15" xfId="1" applyFont="1" applyFill="1" applyBorder="1" applyAlignment="1" applyProtection="1">
      <alignment horizontal="center" vertical="center" wrapText="1"/>
    </xf>
    <xf numFmtId="0" fontId="20" fillId="5" borderId="10" xfId="1" applyFont="1" applyFill="1" applyBorder="1" applyAlignment="1" applyProtection="1">
      <alignment horizontal="center" vertical="center" wrapText="1"/>
    </xf>
    <xf numFmtId="0" fontId="14" fillId="5" borderId="14" xfId="0" applyFont="1" applyFill="1" applyBorder="1" applyAlignment="1" applyProtection="1">
      <alignment horizontal="center" vertical="center" wrapText="1"/>
    </xf>
    <xf numFmtId="0" fontId="14" fillId="5" borderId="2" xfId="0" applyFont="1" applyFill="1" applyBorder="1" applyAlignment="1" applyProtection="1">
      <alignment horizontal="center" vertical="center" wrapText="1"/>
    </xf>
    <xf numFmtId="0" fontId="14" fillId="5" borderId="9" xfId="0" applyFont="1" applyFill="1" applyBorder="1" applyAlignment="1" applyProtection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5" borderId="16" xfId="0" applyFont="1" applyFill="1" applyBorder="1" applyAlignment="1" applyProtection="1">
      <alignment horizontal="center" vertical="center" wrapText="1"/>
    </xf>
    <xf numFmtId="0" fontId="14" fillId="5" borderId="10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left" vertical="top" wrapText="1"/>
    </xf>
    <xf numFmtId="0" fontId="3" fillId="3" borderId="0" xfId="0" applyFont="1" applyFill="1" applyBorder="1" applyAlignment="1" applyProtection="1">
      <alignment horizontal="right"/>
    </xf>
    <xf numFmtId="14" fontId="20" fillId="3" borderId="5" xfId="0" applyNumberFormat="1" applyFont="1" applyFill="1" applyBorder="1" applyAlignment="1" applyProtection="1">
      <alignment horizontal="center" vertical="center"/>
      <protection locked="0"/>
    </xf>
    <xf numFmtId="14" fontId="20" fillId="3" borderId="7" xfId="0" applyNumberFormat="1" applyFont="1" applyFill="1" applyBorder="1" applyAlignment="1" applyProtection="1">
      <alignment horizontal="center" vertical="center"/>
      <protection locked="0"/>
    </xf>
    <xf numFmtId="0" fontId="26" fillId="6" borderId="0" xfId="0" applyFont="1" applyFill="1" applyAlignment="1" applyProtection="1">
      <alignment horizontal="right" vertical="center"/>
    </xf>
    <xf numFmtId="0" fontId="20" fillId="3" borderId="5" xfId="0" applyFont="1" applyFill="1" applyBorder="1" applyAlignment="1" applyProtection="1">
      <alignment horizontal="center" vertical="center"/>
      <protection locked="0"/>
    </xf>
    <xf numFmtId="0" fontId="20" fillId="3" borderId="7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left" vertical="top" wrapText="1"/>
      <protection locked="0"/>
    </xf>
    <xf numFmtId="0" fontId="10" fillId="3" borderId="6" xfId="0" applyFont="1" applyFill="1" applyBorder="1" applyAlignment="1" applyProtection="1">
      <alignment horizontal="left" vertical="top" wrapText="1"/>
      <protection locked="0"/>
    </xf>
    <xf numFmtId="0" fontId="10" fillId="3" borderId="7" xfId="0" applyFont="1" applyFill="1" applyBorder="1" applyAlignment="1" applyProtection="1">
      <alignment horizontal="left" vertical="top" wrapText="1"/>
      <protection locked="0"/>
    </xf>
    <xf numFmtId="0" fontId="26" fillId="6" borderId="0" xfId="0" applyFont="1" applyFill="1" applyAlignment="1" applyProtection="1">
      <alignment horizontal="right" vertical="top"/>
    </xf>
    <xf numFmtId="0" fontId="26" fillId="6" borderId="3" xfId="0" applyFont="1" applyFill="1" applyBorder="1" applyAlignment="1" applyProtection="1">
      <alignment horizontal="right" vertical="top"/>
    </xf>
    <xf numFmtId="0" fontId="22" fillId="8" borderId="14" xfId="0" applyFont="1" applyFill="1" applyBorder="1" applyAlignment="1" applyProtection="1">
      <alignment horizontal="center" vertical="center"/>
    </xf>
    <xf numFmtId="0" fontId="22" fillId="8" borderId="2" xfId="0" applyFont="1" applyFill="1" applyBorder="1" applyAlignment="1" applyProtection="1">
      <alignment horizontal="center" vertical="center"/>
    </xf>
    <xf numFmtId="0" fontId="22" fillId="8" borderId="9" xfId="0" applyFont="1" applyFill="1" applyBorder="1" applyAlignment="1" applyProtection="1">
      <alignment horizontal="center" vertical="center"/>
    </xf>
    <xf numFmtId="0" fontId="22" fillId="8" borderId="15" xfId="0" applyFont="1" applyFill="1" applyBorder="1" applyAlignment="1" applyProtection="1">
      <alignment horizontal="center" vertical="center"/>
    </xf>
    <xf numFmtId="0" fontId="22" fillId="8" borderId="16" xfId="0" applyFont="1" applyFill="1" applyBorder="1" applyAlignment="1" applyProtection="1">
      <alignment horizontal="center" vertical="center"/>
    </xf>
    <xf numFmtId="0" fontId="22" fillId="8" borderId="10" xfId="0" applyFont="1" applyFill="1" applyBorder="1" applyAlignment="1" applyProtection="1">
      <alignment horizontal="center" vertical="center"/>
    </xf>
    <xf numFmtId="0" fontId="14" fillId="6" borderId="0" xfId="0" applyFont="1" applyFill="1" applyAlignment="1" applyProtection="1">
      <alignment horizontal="right"/>
    </xf>
    <xf numFmtId="0" fontId="25" fillId="6" borderId="0" xfId="2" applyFont="1" applyFill="1" applyAlignment="1" applyProtection="1">
      <alignment horizontal="left"/>
      <protection locked="0"/>
    </xf>
    <xf numFmtId="0" fontId="23" fillId="5" borderId="11" xfId="1" applyFont="1" applyFill="1" applyBorder="1" applyAlignment="1" applyProtection="1">
      <alignment horizontal="center" vertical="center" wrapText="1"/>
    </xf>
    <xf numFmtId="0" fontId="23" fillId="5" borderId="0" xfId="1" applyFont="1" applyFill="1" applyBorder="1" applyAlignment="1" applyProtection="1">
      <alignment horizontal="center" vertical="center" wrapText="1"/>
    </xf>
    <xf numFmtId="0" fontId="23" fillId="5" borderId="3" xfId="1" applyFont="1" applyFill="1" applyBorder="1" applyAlignment="1" applyProtection="1">
      <alignment horizontal="center" vertical="center" wrapText="1"/>
    </xf>
    <xf numFmtId="0" fontId="23" fillId="5" borderId="15" xfId="1" applyFont="1" applyFill="1" applyBorder="1" applyAlignment="1" applyProtection="1">
      <alignment horizontal="center" vertical="center" wrapText="1"/>
    </xf>
    <xf numFmtId="0" fontId="23" fillId="5" borderId="16" xfId="1" applyFont="1" applyFill="1" applyBorder="1" applyAlignment="1" applyProtection="1">
      <alignment horizontal="center" vertical="center" wrapText="1"/>
    </xf>
    <xf numFmtId="0" fontId="23" fillId="5" borderId="10" xfId="1" applyFont="1" applyFill="1" applyBorder="1" applyAlignment="1" applyProtection="1">
      <alignment horizontal="center" vertical="center" wrapText="1"/>
    </xf>
    <xf numFmtId="0" fontId="18" fillId="5" borderId="11" xfId="1" applyFont="1" applyFill="1" applyBorder="1" applyAlignment="1" applyProtection="1">
      <alignment horizontal="center" vertical="center" wrapText="1"/>
    </xf>
    <xf numFmtId="0" fontId="18" fillId="5" borderId="0" xfId="1" applyFont="1" applyFill="1" applyBorder="1" applyAlignment="1" applyProtection="1">
      <alignment horizontal="center" vertical="center" wrapText="1"/>
    </xf>
    <xf numFmtId="0" fontId="18" fillId="5" borderId="3" xfId="1" applyFont="1" applyFill="1" applyBorder="1" applyAlignment="1" applyProtection="1">
      <alignment horizontal="center" vertical="center" wrapText="1"/>
    </xf>
    <xf numFmtId="0" fontId="18" fillId="5" borderId="15" xfId="1" applyFont="1" applyFill="1" applyBorder="1" applyAlignment="1" applyProtection="1">
      <alignment horizontal="center" vertical="center" wrapText="1"/>
    </xf>
    <xf numFmtId="0" fontId="18" fillId="5" borderId="16" xfId="1" applyFont="1" applyFill="1" applyBorder="1" applyAlignment="1" applyProtection="1">
      <alignment horizontal="center" vertical="center" wrapText="1"/>
    </xf>
    <xf numFmtId="0" fontId="18" fillId="5" borderId="10" xfId="1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top" wrapText="1"/>
    </xf>
    <xf numFmtId="0" fontId="23" fillId="5" borderId="14" xfId="1" applyFont="1" applyFill="1" applyBorder="1" applyAlignment="1" applyProtection="1">
      <alignment horizontal="center" vertical="center" wrapText="1"/>
    </xf>
    <xf numFmtId="0" fontId="23" fillId="5" borderId="2" xfId="1" applyFont="1" applyFill="1" applyBorder="1" applyAlignment="1" applyProtection="1">
      <alignment horizontal="center" vertical="center" wrapText="1"/>
    </xf>
    <xf numFmtId="0" fontId="23" fillId="5" borderId="9" xfId="1" applyFont="1" applyFill="1" applyBorder="1" applyAlignment="1" applyProtection="1">
      <alignment horizontal="center" vertical="center" wrapText="1"/>
    </xf>
    <xf numFmtId="0" fontId="18" fillId="5" borderId="14" xfId="1" applyFont="1" applyFill="1" applyBorder="1" applyAlignment="1" applyProtection="1">
      <alignment horizontal="center" vertical="center" wrapText="1"/>
    </xf>
    <xf numFmtId="0" fontId="18" fillId="5" borderId="2" xfId="1" applyFont="1" applyFill="1" applyBorder="1" applyAlignment="1" applyProtection="1">
      <alignment horizontal="center" vertical="center" wrapText="1"/>
    </xf>
    <xf numFmtId="0" fontId="18" fillId="5" borderId="9" xfId="1" applyFont="1" applyFill="1" applyBorder="1" applyAlignment="1" applyProtection="1">
      <alignment horizontal="center" vertical="center" wrapText="1"/>
    </xf>
    <xf numFmtId="0" fontId="24" fillId="9" borderId="14" xfId="0" applyFont="1" applyFill="1" applyBorder="1" applyAlignment="1" applyProtection="1">
      <alignment horizontal="right" vertical="center" wrapText="1" indent="1"/>
    </xf>
    <xf numFmtId="0" fontId="24" fillId="9" borderId="2" xfId="0" applyFont="1" applyFill="1" applyBorder="1" applyAlignment="1" applyProtection="1">
      <alignment horizontal="right" vertical="center" wrapText="1" indent="1"/>
    </xf>
    <xf numFmtId="0" fontId="24" fillId="9" borderId="9" xfId="0" applyFont="1" applyFill="1" applyBorder="1" applyAlignment="1" applyProtection="1">
      <alignment horizontal="right" vertical="center" wrapText="1" indent="1"/>
    </xf>
    <xf numFmtId="0" fontId="24" fillId="9" borderId="15" xfId="0" applyFont="1" applyFill="1" applyBorder="1" applyAlignment="1" applyProtection="1">
      <alignment horizontal="right" vertical="center" wrapText="1" indent="1"/>
    </xf>
    <xf numFmtId="0" fontId="24" fillId="9" borderId="16" xfId="0" applyFont="1" applyFill="1" applyBorder="1" applyAlignment="1" applyProtection="1">
      <alignment horizontal="right" vertical="center" wrapText="1" indent="1"/>
    </xf>
    <xf numFmtId="0" fontId="24" fillId="9" borderId="10" xfId="0" applyFont="1" applyFill="1" applyBorder="1" applyAlignment="1" applyProtection="1">
      <alignment horizontal="right" vertical="center" wrapText="1" indent="1"/>
    </xf>
    <xf numFmtId="164" fontId="18" fillId="5" borderId="4" xfId="0" applyNumberFormat="1" applyFont="1" applyFill="1" applyBorder="1" applyAlignment="1" applyProtection="1">
      <alignment horizontal="center" vertical="center"/>
    </xf>
    <xf numFmtId="164" fontId="18" fillId="5" borderId="13" xfId="0" applyNumberFormat="1" applyFont="1" applyFill="1" applyBorder="1" applyAlignment="1" applyProtection="1">
      <alignment horizontal="center" vertical="center"/>
    </xf>
    <xf numFmtId="164" fontId="18" fillId="5" borderId="12" xfId="0" applyNumberFormat="1" applyFont="1" applyFill="1" applyBorder="1" applyAlignment="1" applyProtection="1">
      <alignment horizontal="center" vertical="center"/>
    </xf>
    <xf numFmtId="1" fontId="18" fillId="5" borderId="15" xfId="0" applyNumberFormat="1" applyFont="1" applyFill="1" applyBorder="1" applyAlignment="1" applyProtection="1">
      <alignment horizontal="center" vertical="center"/>
    </xf>
    <xf numFmtId="1" fontId="18" fillId="5" borderId="16" xfId="0" applyNumberFormat="1" applyFont="1" applyFill="1" applyBorder="1" applyAlignment="1" applyProtection="1">
      <alignment horizontal="center" vertical="center"/>
    </xf>
    <xf numFmtId="1" fontId="18" fillId="5" borderId="10" xfId="0" applyNumberFormat="1" applyFont="1" applyFill="1" applyBorder="1" applyAlignment="1" applyProtection="1">
      <alignment horizontal="center" vertical="center"/>
    </xf>
  </cellXfs>
  <cellStyles count="4">
    <cellStyle name="Good" xfId="1" builtinId="26"/>
    <cellStyle name="Hyperlink" xfId="2" builtinId="8"/>
    <cellStyle name="Normal" xfId="0" builtinId="0"/>
    <cellStyle name="Percent" xfId="3" builtinId="5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79C72"/>
      <color rgb="FFE75227"/>
      <color rgb="FFEB6A47"/>
      <color rgb="FFC62A35"/>
      <color rgb="FFE9644B"/>
      <color rgb="FF4C7D4C"/>
      <color rgb="FF729772"/>
      <color rgb="FF9EB29E"/>
      <color rgb="FF7E0300"/>
      <color rgb="FFB040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1509329</xdr:colOff>
      <xdr:row>1</xdr:row>
      <xdr:rowOff>190500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44728"/>
        <a:stretch/>
      </xdr:blipFill>
      <xdr:spPr>
        <a:xfrm>
          <a:off x="419100" y="0"/>
          <a:ext cx="1518854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68597</xdr:colOff>
      <xdr:row>20</xdr:row>
      <xdr:rowOff>38101</xdr:rowOff>
    </xdr:from>
    <xdr:to>
      <xdr:col>2</xdr:col>
      <xdr:colOff>2140241</xdr:colOff>
      <xdr:row>24</xdr:row>
      <xdr:rowOff>180975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53571"/>
        <a:stretch/>
      </xdr:blipFill>
      <xdr:spPr>
        <a:xfrm>
          <a:off x="68597" y="5191126"/>
          <a:ext cx="2500269" cy="1019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41"/>
  <sheetViews>
    <sheetView tabSelected="1" zoomScaleNormal="100" workbookViewId="0">
      <selection activeCell="D5" sqref="D5:D6"/>
    </sheetView>
  </sheetViews>
  <sheetFormatPr defaultColWidth="0" defaultRowHeight="15" zeroHeight="1"/>
  <cols>
    <col min="1" max="1" width="3" style="1" customWidth="1"/>
    <col min="2" max="2" width="3.42578125" style="1" customWidth="1"/>
    <col min="3" max="3" width="32.5703125" style="1" customWidth="1"/>
    <col min="4" max="4" width="22.85546875" style="1" customWidth="1"/>
    <col min="5" max="5" width="32.140625" style="1" customWidth="1"/>
    <col min="6" max="6" width="10" style="1" customWidth="1"/>
    <col min="7" max="7" width="11.42578125" style="1" customWidth="1"/>
    <col min="8" max="8" width="10.28515625" style="1" customWidth="1"/>
    <col min="9" max="9" width="9.140625" style="1" customWidth="1"/>
    <col min="10" max="10" width="6.7109375" style="1" customWidth="1"/>
    <col min="11" max="12" width="7.28515625" style="1" customWidth="1"/>
    <col min="13" max="13" width="6.140625" style="1" customWidth="1"/>
    <col min="14" max="14" width="5.85546875" style="1" customWidth="1"/>
    <col min="15" max="15" width="6.140625" style="1" customWidth="1"/>
    <col min="16" max="16" width="9.140625" style="1" customWidth="1"/>
    <col min="17" max="17" width="3" style="1" customWidth="1"/>
    <col min="18" max="24" width="0" style="1" hidden="1" customWidth="1"/>
    <col min="25" max="16384" width="9.140625" style="1" hidden="1"/>
  </cols>
  <sheetData>
    <row r="1" spans="1:22" ht="40.5" customHeight="1" thickBot="1">
      <c r="A1" s="33"/>
      <c r="B1" s="33"/>
      <c r="C1" s="34"/>
      <c r="D1" s="63" t="s">
        <v>508</v>
      </c>
      <c r="E1" s="63"/>
      <c r="F1" s="33"/>
      <c r="G1" s="33"/>
      <c r="H1" s="33"/>
      <c r="I1" s="33"/>
      <c r="J1" s="33"/>
      <c r="K1" s="33"/>
      <c r="L1" s="72" t="str">
        <f>HYPERLINK("http://ahsri.uow.edu.au/aroc/index.html","AROC Homepage")</f>
        <v>AROC Homepage</v>
      </c>
      <c r="M1" s="72"/>
      <c r="N1" s="72"/>
      <c r="O1" s="72" t="str">
        <f>HYPERLINK("mailto:aroc@uow.edu.au","Contact AROC")</f>
        <v>Contact AROC</v>
      </c>
      <c r="P1" s="72"/>
      <c r="Q1" s="33"/>
    </row>
    <row r="2" spans="1:22" ht="15.75" thickBot="1">
      <c r="A2" s="33"/>
      <c r="B2" s="33"/>
      <c r="C2" s="33"/>
      <c r="D2" s="35" t="s">
        <v>496</v>
      </c>
      <c r="E2" s="36"/>
      <c r="F2" s="68" t="s">
        <v>497</v>
      </c>
      <c r="G2" s="69"/>
      <c r="H2" s="70"/>
      <c r="I2" s="71"/>
      <c r="J2" s="33"/>
      <c r="K2" s="33"/>
      <c r="L2" s="33"/>
      <c r="M2" s="33"/>
      <c r="N2" s="33"/>
      <c r="O2" s="33"/>
      <c r="P2" s="33"/>
      <c r="Q2" s="33"/>
    </row>
    <row r="3" spans="1:22" ht="18">
      <c r="A3" s="33"/>
      <c r="B3" s="37" t="s">
        <v>495</v>
      </c>
      <c r="C3" s="38"/>
      <c r="D3" s="38"/>
      <c r="E3" s="37" t="s">
        <v>51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3"/>
    </row>
    <row r="4" spans="1:22" ht="19.5" thickBot="1">
      <c r="A4" s="33"/>
      <c r="B4" s="38"/>
      <c r="C4" s="38"/>
      <c r="D4" s="38"/>
      <c r="E4" s="38" t="s">
        <v>250</v>
      </c>
      <c r="F4" s="39" t="s">
        <v>225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3"/>
      <c r="T4" s="87"/>
      <c r="U4" s="87"/>
      <c r="V4" s="30"/>
    </row>
    <row r="5" spans="1:22" ht="19.5" customHeight="1" thickBot="1">
      <c r="A5" s="33"/>
      <c r="B5" s="90" t="s">
        <v>498</v>
      </c>
      <c r="C5" s="90"/>
      <c r="D5" s="88"/>
      <c r="E5" s="40" t="s">
        <v>236</v>
      </c>
      <c r="F5" s="41"/>
      <c r="G5" s="59" t="s">
        <v>74</v>
      </c>
      <c r="H5" s="58"/>
      <c r="I5" s="57" t="s">
        <v>221</v>
      </c>
      <c r="J5" s="58"/>
      <c r="K5" s="57" t="s">
        <v>222</v>
      </c>
      <c r="L5" s="58"/>
      <c r="M5" s="59" t="s">
        <v>83</v>
      </c>
      <c r="N5" s="57"/>
      <c r="O5" s="58"/>
      <c r="P5" s="38"/>
      <c r="Q5" s="33"/>
      <c r="T5" s="73"/>
      <c r="U5" s="73"/>
      <c r="V5" s="2"/>
    </row>
    <row r="6" spans="1:22" ht="19.5" customHeight="1" thickBot="1">
      <c r="A6" s="33"/>
      <c r="B6" s="90"/>
      <c r="C6" s="90"/>
      <c r="D6" s="89"/>
      <c r="E6" s="42" t="s">
        <v>237</v>
      </c>
      <c r="F6" s="41"/>
      <c r="G6" s="64" t="str">
        <f>IF(Age&lt;&gt;0,Age,"Data Incomplete")</f>
        <v>Data Incomplete</v>
      </c>
      <c r="H6" s="65"/>
      <c r="I6" s="76" t="str">
        <f>FIMMotor</f>
        <v>Data Incomplete</v>
      </c>
      <c r="J6" s="77"/>
      <c r="K6" s="76" t="str">
        <f>FIM_Cognition</f>
        <v>Data Incomplete</v>
      </c>
      <c r="L6" s="77"/>
      <c r="M6" s="64" t="str">
        <f>FIM_Total</f>
        <v>Data Incomplete</v>
      </c>
      <c r="N6" s="74"/>
      <c r="O6" s="65"/>
      <c r="P6" s="38"/>
      <c r="Q6" s="33"/>
      <c r="T6" s="73"/>
      <c r="U6" s="73"/>
      <c r="V6" s="2"/>
    </row>
    <row r="7" spans="1:22" ht="19.5" customHeight="1" thickBot="1">
      <c r="A7" s="33"/>
      <c r="B7" s="90" t="s">
        <v>499</v>
      </c>
      <c r="C7" s="90"/>
      <c r="D7" s="88"/>
      <c r="E7" s="43" t="s">
        <v>238</v>
      </c>
      <c r="F7" s="41"/>
      <c r="G7" s="66"/>
      <c r="H7" s="67"/>
      <c r="I7" s="78"/>
      <c r="J7" s="79"/>
      <c r="K7" s="78"/>
      <c r="L7" s="79"/>
      <c r="M7" s="66"/>
      <c r="N7" s="75"/>
      <c r="O7" s="67"/>
      <c r="P7" s="38"/>
      <c r="Q7" s="33"/>
      <c r="T7" s="73"/>
      <c r="U7" s="73"/>
      <c r="V7" s="2"/>
    </row>
    <row r="8" spans="1:22" ht="19.5" customHeight="1" thickBot="1">
      <c r="A8" s="33"/>
      <c r="B8" s="90"/>
      <c r="C8" s="90"/>
      <c r="D8" s="89"/>
      <c r="E8" s="43" t="s">
        <v>239</v>
      </c>
      <c r="F8" s="41"/>
      <c r="G8" s="80" t="str">
        <f>AICDesc</f>
        <v>Code Not Valid</v>
      </c>
      <c r="H8" s="81"/>
      <c r="I8" s="81"/>
      <c r="J8" s="81"/>
      <c r="K8" s="81"/>
      <c r="L8" s="81"/>
      <c r="M8" s="81"/>
      <c r="N8" s="81"/>
      <c r="O8" s="82"/>
      <c r="P8" s="38"/>
      <c r="Q8" s="33"/>
      <c r="T8" s="73"/>
      <c r="U8" s="73"/>
      <c r="V8" s="2"/>
    </row>
    <row r="9" spans="1:22" ht="19.5" customHeight="1" thickBot="1">
      <c r="A9" s="33"/>
      <c r="B9" s="90" t="s">
        <v>408</v>
      </c>
      <c r="C9" s="90"/>
      <c r="D9" s="88" t="s">
        <v>406</v>
      </c>
      <c r="E9" s="43" t="s">
        <v>240</v>
      </c>
      <c r="F9" s="41"/>
      <c r="G9" s="83"/>
      <c r="H9" s="84"/>
      <c r="I9" s="84"/>
      <c r="J9" s="84"/>
      <c r="K9" s="84"/>
      <c r="L9" s="84"/>
      <c r="M9" s="84"/>
      <c r="N9" s="84"/>
      <c r="O9" s="85"/>
      <c r="P9" s="38"/>
      <c r="Q9" s="33"/>
      <c r="T9" s="2"/>
      <c r="U9" s="2"/>
      <c r="V9" s="2"/>
    </row>
    <row r="10" spans="1:22" ht="19.5" customHeight="1" thickBot="1">
      <c r="A10" s="33"/>
      <c r="B10" s="90"/>
      <c r="C10" s="90"/>
      <c r="D10" s="89"/>
      <c r="E10" s="43" t="s">
        <v>241</v>
      </c>
      <c r="F10" s="41"/>
      <c r="G10" s="98" t="s">
        <v>507</v>
      </c>
      <c r="H10" s="99"/>
      <c r="I10" s="99"/>
      <c r="J10" s="99"/>
      <c r="K10" s="99"/>
      <c r="L10" s="99"/>
      <c r="M10" s="99"/>
      <c r="N10" s="99"/>
      <c r="O10" s="100"/>
      <c r="P10" s="38"/>
      <c r="Q10" s="33"/>
      <c r="T10" s="2"/>
      <c r="U10" s="2"/>
      <c r="V10" s="2"/>
    </row>
    <row r="11" spans="1:22" ht="19.5" customHeight="1" thickBot="1">
      <c r="A11" s="33"/>
      <c r="B11" s="90" t="s">
        <v>233</v>
      </c>
      <c r="C11" s="90"/>
      <c r="D11" s="91"/>
      <c r="E11" s="43" t="s">
        <v>253</v>
      </c>
      <c r="F11" s="41"/>
      <c r="G11" s="101"/>
      <c r="H11" s="102"/>
      <c r="I11" s="102"/>
      <c r="J11" s="102"/>
      <c r="K11" s="102"/>
      <c r="L11" s="102"/>
      <c r="M11" s="102"/>
      <c r="N11" s="102"/>
      <c r="O11" s="103"/>
      <c r="P11" s="44"/>
      <c r="Q11" s="33"/>
    </row>
    <row r="12" spans="1:22" ht="19.5" customHeight="1" thickBot="1">
      <c r="A12" s="33"/>
      <c r="B12" s="90"/>
      <c r="C12" s="90"/>
      <c r="D12" s="92"/>
      <c r="E12" s="43" t="s">
        <v>254</v>
      </c>
      <c r="F12" s="41"/>
      <c r="G12" s="119" t="str">
        <f>IF(AssessOnly="y","—",SNAP_Class_Calcv5)</f>
        <v>Data Incomplete</v>
      </c>
      <c r="H12" s="120"/>
      <c r="I12" s="121"/>
      <c r="J12" s="122" t="str">
        <f>IF(AssessOnly="y","—",SNAP_Class_Calc_Descv5)</f>
        <v>—</v>
      </c>
      <c r="K12" s="123"/>
      <c r="L12" s="123"/>
      <c r="M12" s="123"/>
      <c r="N12" s="123"/>
      <c r="O12" s="124"/>
      <c r="P12" s="38"/>
      <c r="Q12" s="33"/>
    </row>
    <row r="13" spans="1:22" ht="19.5" customHeight="1" thickBot="1">
      <c r="A13" s="33"/>
      <c r="B13" s="90" t="s">
        <v>227</v>
      </c>
      <c r="C13" s="90"/>
      <c r="D13" s="88" t="s">
        <v>230</v>
      </c>
      <c r="E13" s="43" t="s">
        <v>242</v>
      </c>
      <c r="F13" s="41"/>
      <c r="G13" s="106"/>
      <c r="H13" s="107"/>
      <c r="I13" s="108"/>
      <c r="J13" s="112"/>
      <c r="K13" s="113"/>
      <c r="L13" s="113"/>
      <c r="M13" s="113"/>
      <c r="N13" s="113"/>
      <c r="O13" s="114"/>
      <c r="P13" s="38"/>
      <c r="Q13" s="33"/>
    </row>
    <row r="14" spans="1:22" ht="19.5" customHeight="1" thickBot="1">
      <c r="A14" s="33"/>
      <c r="B14" s="90"/>
      <c r="C14" s="90"/>
      <c r="D14" s="89"/>
      <c r="E14" s="43" t="s">
        <v>243</v>
      </c>
      <c r="F14" s="41"/>
      <c r="G14" s="109"/>
      <c r="H14" s="110"/>
      <c r="I14" s="111"/>
      <c r="J14" s="115"/>
      <c r="K14" s="116"/>
      <c r="L14" s="116"/>
      <c r="M14" s="116"/>
      <c r="N14" s="116"/>
      <c r="O14" s="117"/>
      <c r="P14" s="38"/>
      <c r="Q14" s="33"/>
    </row>
    <row r="15" spans="1:22" ht="19.5" customHeight="1" thickBot="1">
      <c r="A15" s="33"/>
      <c r="B15" s="96" t="s">
        <v>224</v>
      </c>
      <c r="C15" s="97"/>
      <c r="D15" s="93"/>
      <c r="E15" s="43" t="s">
        <v>244</v>
      </c>
      <c r="F15" s="41"/>
      <c r="G15" s="125" t="str">
        <f ca="1">IF(NOW()&gt;UpdateBenchmarksDate,"These benchmarks are out of date.",BenchmarkPeriod&amp;":")</f>
        <v>Calendar Year 2023 Benchmarks:</v>
      </c>
      <c r="H15" s="126"/>
      <c r="I15" s="127"/>
      <c r="J15" s="57" t="s">
        <v>478</v>
      </c>
      <c r="K15" s="57"/>
      <c r="L15" s="58"/>
      <c r="M15" s="59" t="s">
        <v>479</v>
      </c>
      <c r="N15" s="57"/>
      <c r="O15" s="58"/>
      <c r="P15" s="45"/>
      <c r="Q15" s="33"/>
    </row>
    <row r="16" spans="1:22" ht="19.5" customHeight="1" thickBot="1">
      <c r="A16" s="33"/>
      <c r="B16" s="96"/>
      <c r="C16" s="97"/>
      <c r="D16" s="94"/>
      <c r="E16" s="43" t="s">
        <v>245</v>
      </c>
      <c r="F16" s="41"/>
      <c r="G16" s="128"/>
      <c r="H16" s="129"/>
      <c r="I16" s="130"/>
      <c r="J16" s="131" t="str">
        <f>IF(OR(LOSBenchmark="—",AssessOnly="y"),"—",TEXT(LOSBenchmark,"0.0")&amp;" days")</f>
        <v>—</v>
      </c>
      <c r="K16" s="132"/>
      <c r="L16" s="133"/>
      <c r="M16" s="131" t="str">
        <f>IF(AssessOnly="y","—",FIMBenchmark)</f>
        <v>—</v>
      </c>
      <c r="N16" s="132"/>
      <c r="O16" s="133"/>
      <c r="P16" s="45"/>
      <c r="Q16" s="33"/>
    </row>
    <row r="17" spans="1:18" ht="19.5" customHeight="1" thickBot="1">
      <c r="A17" s="33"/>
      <c r="B17" s="96"/>
      <c r="C17" s="97"/>
      <c r="D17" s="94"/>
      <c r="E17" s="43" t="s">
        <v>246</v>
      </c>
      <c r="F17" s="41"/>
      <c r="G17" s="125" t="str">
        <f ca="1">IF(NOW()&gt;UpdateBenchmarksDate," Please go to the AROC Website to download the latest version of this calculator","Estimated discharge date and discharge FIM score:")</f>
        <v>Estimated discharge date and discharge FIM score:</v>
      </c>
      <c r="H17" s="126"/>
      <c r="I17" s="127"/>
      <c r="J17" s="57" t="s">
        <v>493</v>
      </c>
      <c r="K17" s="57"/>
      <c r="L17" s="58"/>
      <c r="M17" s="59" t="s">
        <v>494</v>
      </c>
      <c r="N17" s="57"/>
      <c r="O17" s="58"/>
      <c r="P17" s="38"/>
      <c r="Q17" s="46"/>
      <c r="R17" s="26"/>
    </row>
    <row r="18" spans="1:18" ht="19.5" customHeight="1" thickBot="1">
      <c r="A18" s="33"/>
      <c r="B18" s="96"/>
      <c r="C18" s="97"/>
      <c r="D18" s="94"/>
      <c r="E18" s="43" t="s">
        <v>247</v>
      </c>
      <c r="F18" s="41"/>
      <c r="G18" s="128"/>
      <c r="H18" s="129"/>
      <c r="I18" s="130"/>
      <c r="J18" s="60" t="str">
        <f>IF(AssessOnly="y","—",IFERROR(ROUND(Episode_Start_Date,0)+LOSBenchmark,"—"))</f>
        <v>—</v>
      </c>
      <c r="K18" s="61"/>
      <c r="L18" s="62"/>
      <c r="M18" s="134" t="str">
        <f>IF(AssessOnly="y","—",IF(IFERROR(ROUNDUP(FIM_Total+FIMBenchmark,0),0)&gt;126,126,IFERROR(ROUNDUP(FIM_Total+FIMBenchmark,0),"—")))</f>
        <v>—</v>
      </c>
      <c r="N18" s="135"/>
      <c r="O18" s="136"/>
      <c r="P18" s="38"/>
      <c r="Q18" s="33"/>
    </row>
    <row r="19" spans="1:18" ht="19.5" customHeight="1" thickBot="1">
      <c r="A19" s="33"/>
      <c r="B19" s="96"/>
      <c r="C19" s="97"/>
      <c r="D19" s="94"/>
      <c r="E19" s="43" t="s">
        <v>248</v>
      </c>
      <c r="F19" s="41"/>
      <c r="G19" s="101" t="s">
        <v>476</v>
      </c>
      <c r="H19" s="102"/>
      <c r="I19" s="102"/>
      <c r="J19" s="102"/>
      <c r="K19" s="102"/>
      <c r="L19" s="102"/>
      <c r="M19" s="102"/>
      <c r="N19" s="102"/>
      <c r="O19" s="103"/>
      <c r="P19" s="38"/>
      <c r="Q19" s="33"/>
    </row>
    <row r="20" spans="1:18" ht="19.5" customHeight="1" thickBot="1">
      <c r="A20" s="33"/>
      <c r="B20" s="96"/>
      <c r="C20" s="97"/>
      <c r="D20" s="94"/>
      <c r="E20" s="43" t="s">
        <v>249</v>
      </c>
      <c r="F20" s="41"/>
      <c r="G20" s="106" t="str">
        <f>IF(AssessOnly="y","—",SNAP_Class_Calcv4)</f>
        <v>Data Incomplete</v>
      </c>
      <c r="H20" s="107"/>
      <c r="I20" s="108"/>
      <c r="J20" s="112" t="str">
        <f>IF(AssessOnly="y","—",SNAP_Class_Calc_Descv4)</f>
        <v>—</v>
      </c>
      <c r="K20" s="113"/>
      <c r="L20" s="113"/>
      <c r="M20" s="113"/>
      <c r="N20" s="113"/>
      <c r="O20" s="114"/>
      <c r="P20" s="38"/>
      <c r="Q20" s="46"/>
      <c r="R20" s="26"/>
    </row>
    <row r="21" spans="1:18" ht="19.5" customHeight="1" thickBot="1">
      <c r="A21" s="33"/>
      <c r="B21" s="96"/>
      <c r="C21" s="97"/>
      <c r="D21" s="94"/>
      <c r="E21" s="43" t="s">
        <v>251</v>
      </c>
      <c r="F21" s="41"/>
      <c r="G21" s="106"/>
      <c r="H21" s="107"/>
      <c r="I21" s="108"/>
      <c r="J21" s="112"/>
      <c r="K21" s="113"/>
      <c r="L21" s="113"/>
      <c r="M21" s="113"/>
      <c r="N21" s="113"/>
      <c r="O21" s="114"/>
      <c r="P21" s="38"/>
      <c r="Q21" s="33"/>
    </row>
    <row r="22" spans="1:18" ht="19.5" customHeight="1" thickBot="1">
      <c r="A22" s="33"/>
      <c r="B22" s="96"/>
      <c r="C22" s="97"/>
      <c r="D22" s="95"/>
      <c r="E22" s="47" t="s">
        <v>252</v>
      </c>
      <c r="F22" s="48"/>
      <c r="G22" s="109"/>
      <c r="H22" s="110"/>
      <c r="I22" s="111"/>
      <c r="J22" s="115"/>
      <c r="K22" s="116"/>
      <c r="L22" s="116"/>
      <c r="M22" s="116"/>
      <c r="N22" s="116"/>
      <c r="O22" s="117"/>
      <c r="P22" s="38"/>
      <c r="Q22" s="33"/>
    </row>
    <row r="23" spans="1:18">
      <c r="A23" s="33"/>
      <c r="B23" s="38"/>
      <c r="C23" s="38"/>
      <c r="D23" s="49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50" t="s">
        <v>502</v>
      </c>
      <c r="P23" s="38"/>
      <c r="Q23" s="46"/>
      <c r="R23" s="26"/>
    </row>
    <row r="24" spans="1:18">
      <c r="A24" s="33"/>
      <c r="B24" s="38"/>
      <c r="C24" s="38"/>
      <c r="D24" s="38"/>
      <c r="E24" s="104" t="s">
        <v>235</v>
      </c>
      <c r="F24" s="104"/>
      <c r="G24" s="104"/>
      <c r="H24" s="104"/>
      <c r="I24" s="105" t="str">
        <f>HYPERLINK("http://ahsri.uow.edu.au/aroc/index.html","AROC Homepage")</f>
        <v>AROC Homepage</v>
      </c>
      <c r="J24" s="105"/>
      <c r="K24" s="105"/>
      <c r="L24" s="51"/>
      <c r="M24" s="38"/>
      <c r="N24" s="38"/>
      <c r="O24" s="38"/>
      <c r="P24" s="38"/>
      <c r="Q24" s="33"/>
    </row>
    <row r="25" spans="1:18">
      <c r="A25" s="33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3"/>
    </row>
    <row r="26" spans="1:18">
      <c r="A26" s="33"/>
      <c r="B26" s="52"/>
      <c r="C26" s="52"/>
      <c r="D26" s="52"/>
      <c r="E26" s="53"/>
      <c r="F26" s="52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1:18" ht="19.5" hidden="1">
      <c r="B27" s="2"/>
      <c r="C27" s="27"/>
      <c r="D27" s="2"/>
      <c r="E27" s="2"/>
      <c r="F27" s="2"/>
    </row>
    <row r="28" spans="1:18" hidden="1">
      <c r="B28" s="2"/>
      <c r="C28" s="2"/>
      <c r="D28" s="2"/>
      <c r="E28" s="2"/>
      <c r="F28" s="2"/>
    </row>
    <row r="29" spans="1:18" hidden="1">
      <c r="B29" s="2"/>
      <c r="C29" s="2"/>
      <c r="D29" s="2"/>
      <c r="E29" s="2"/>
      <c r="F29" s="2"/>
    </row>
    <row r="30" spans="1:18" hidden="1">
      <c r="B30" s="2"/>
      <c r="C30" s="2"/>
      <c r="D30" s="2"/>
      <c r="E30" s="2"/>
      <c r="F30" s="2"/>
    </row>
    <row r="31" spans="1:18" hidden="1">
      <c r="B31" s="2"/>
      <c r="C31" s="2"/>
      <c r="D31" s="2"/>
      <c r="E31" s="2"/>
      <c r="F31" s="2"/>
    </row>
    <row r="32" spans="1:18" hidden="1">
      <c r="B32" s="2"/>
      <c r="C32" s="86"/>
      <c r="D32" s="2"/>
      <c r="E32" s="2"/>
      <c r="F32" s="28"/>
    </row>
    <row r="33" spans="2:6" hidden="1">
      <c r="B33" s="2"/>
      <c r="C33" s="86"/>
      <c r="D33" s="2"/>
      <c r="E33" s="2"/>
      <c r="F33" s="2"/>
    </row>
    <row r="34" spans="2:6" ht="15" hidden="1" customHeight="1">
      <c r="B34" s="2"/>
      <c r="C34" s="86"/>
      <c r="D34" s="2"/>
      <c r="E34" s="2"/>
      <c r="F34" s="118"/>
    </row>
    <row r="35" spans="2:6" hidden="1">
      <c r="B35" s="2"/>
      <c r="C35" s="86"/>
      <c r="D35" s="2"/>
      <c r="E35" s="2"/>
      <c r="F35" s="118"/>
    </row>
    <row r="36" spans="2:6" hidden="1">
      <c r="B36" s="2"/>
      <c r="C36" s="29"/>
      <c r="D36" s="2"/>
      <c r="E36" s="2"/>
      <c r="F36" s="28"/>
    </row>
    <row r="37" spans="2:6" hidden="1">
      <c r="B37" s="2"/>
      <c r="C37" s="2"/>
      <c r="D37" s="2"/>
      <c r="E37" s="2"/>
      <c r="F37" s="2"/>
    </row>
    <row r="38" spans="2:6" hidden="1">
      <c r="B38" s="2"/>
      <c r="C38" s="86"/>
      <c r="D38" s="2"/>
      <c r="E38" s="2"/>
      <c r="F38" s="2"/>
    </row>
    <row r="39" spans="2:6" hidden="1">
      <c r="B39" s="2"/>
      <c r="C39" s="86"/>
      <c r="D39" s="2"/>
      <c r="E39" s="2"/>
      <c r="F39" s="2"/>
    </row>
    <row r="40" spans="2:6" hidden="1">
      <c r="B40" s="2"/>
      <c r="C40" s="2"/>
      <c r="D40" s="2"/>
      <c r="E40" s="2"/>
      <c r="F40" s="2"/>
    </row>
    <row r="41" spans="2:6" hidden="1">
      <c r="B41" s="2"/>
      <c r="C41" s="2"/>
      <c r="D41" s="2"/>
      <c r="E41" s="2"/>
      <c r="F41" s="2"/>
    </row>
  </sheetData>
  <sheetProtection algorithmName="SHA-512" hashValue="jm6Uc7sMEP1a0YkMEGRkLMznIpXBhnSusW1lskGkM/n66apfTT7bwxKSAirVYitP2bSKoYBPlOIpd7AdTJ//QA==" saltValue="NYL50phu2//gNW+8xN9vYg==" spinCount="100000" sheet="1" selectLockedCells="1"/>
  <mergeCells count="52">
    <mergeCell ref="B13:C14"/>
    <mergeCell ref="I24:K24"/>
    <mergeCell ref="G20:I22"/>
    <mergeCell ref="J20:O22"/>
    <mergeCell ref="F34:F35"/>
    <mergeCell ref="C32:C35"/>
    <mergeCell ref="J15:L15"/>
    <mergeCell ref="M15:O15"/>
    <mergeCell ref="G12:I14"/>
    <mergeCell ref="J12:O14"/>
    <mergeCell ref="G19:O19"/>
    <mergeCell ref="G15:I16"/>
    <mergeCell ref="J16:L16"/>
    <mergeCell ref="M16:O16"/>
    <mergeCell ref="G17:I18"/>
    <mergeCell ref="M18:O18"/>
    <mergeCell ref="C38:C39"/>
    <mergeCell ref="G5:H5"/>
    <mergeCell ref="T4:U4"/>
    <mergeCell ref="D5:D6"/>
    <mergeCell ref="B5:C6"/>
    <mergeCell ref="B7:C8"/>
    <mergeCell ref="D7:D8"/>
    <mergeCell ref="D9:D10"/>
    <mergeCell ref="B9:C10"/>
    <mergeCell ref="D11:D12"/>
    <mergeCell ref="B11:C12"/>
    <mergeCell ref="D13:D14"/>
    <mergeCell ref="D15:D22"/>
    <mergeCell ref="B15:C22"/>
    <mergeCell ref="G10:O11"/>
    <mergeCell ref="E24:H24"/>
    <mergeCell ref="T7:U7"/>
    <mergeCell ref="T8:U8"/>
    <mergeCell ref="I5:J5"/>
    <mergeCell ref="K5:L5"/>
    <mergeCell ref="T5:U5"/>
    <mergeCell ref="T6:U6"/>
    <mergeCell ref="M6:O7"/>
    <mergeCell ref="I6:J7"/>
    <mergeCell ref="K6:L7"/>
    <mergeCell ref="G8:O9"/>
    <mergeCell ref="J17:L17"/>
    <mergeCell ref="M17:O17"/>
    <mergeCell ref="J18:L18"/>
    <mergeCell ref="D1:E1"/>
    <mergeCell ref="M5:O5"/>
    <mergeCell ref="G6:H7"/>
    <mergeCell ref="F2:G2"/>
    <mergeCell ref="H2:I2"/>
    <mergeCell ref="O1:P1"/>
    <mergeCell ref="L1:N1"/>
  </mergeCells>
  <conditionalFormatting sqref="J16:O16 J18:O18 G15:I18">
    <cfRule type="expression" dxfId="0" priority="1">
      <formula>NOW()&gt;UpdateBenchmarksDate</formula>
    </cfRule>
  </conditionalFormatting>
  <dataValidations count="3">
    <dataValidation type="date" showInputMessage="1" showErrorMessage="1" sqref="D5:D6">
      <formula1>1</formula1>
      <formula2>43831</formula2>
    </dataValidation>
    <dataValidation type="whole" showInputMessage="1" showErrorMessage="1" sqref="F5:F22">
      <formula1>1</formula1>
      <formula2>7</formula2>
    </dataValidation>
    <dataValidation type="date" allowBlank="1" showInputMessage="1" showErrorMessage="1" sqref="D7:D8">
      <formula1>32874</formula1>
      <formula2>54789</formula2>
    </dataValidation>
  </dataValidations>
  <pageMargins left="0.7" right="0.7" top="0.75" bottom="0.75" header="0.3" footer="0.3"/>
  <pageSetup paperSize="9" scale="71" orientation="landscape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DropDown="1" showInputMessage="1" showErrorMessage="1">
          <x14:formula1>
            <xm:f>ListData!$B$3:$B$108</xm:f>
          </x14:formula1>
          <xm:sqref>D11:D12</xm:sqref>
        </x14:dataValidation>
        <x14:dataValidation type="list" showInputMessage="1" showErrorMessage="1">
          <x14:formula1>
            <xm:f>Benchmarks!$H$1:$H$2</xm:f>
          </x14:formula1>
          <xm:sqref>D9</xm:sqref>
        </x14:dataValidation>
        <x14:dataValidation type="list" showInputMessage="1" showErrorMessage="1">
          <x14:formula1>
            <xm:f>ListData!$I$70:$I$71</xm:f>
          </x14:formula1>
          <xm:sqref>D13:D14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27"/>
  <sheetViews>
    <sheetView workbookViewId="0">
      <selection activeCell="P16" sqref="P16"/>
    </sheetView>
  </sheetViews>
  <sheetFormatPr defaultRowHeight="15"/>
  <cols>
    <col min="1" max="1" width="18" bestFit="1" customWidth="1"/>
    <col min="2" max="2" width="15.7109375" bestFit="1" customWidth="1"/>
    <col min="3" max="3" width="24.7109375" bestFit="1" customWidth="1"/>
    <col min="4" max="4" width="16.28515625" bestFit="1" customWidth="1"/>
    <col min="5" max="5" width="12.42578125" bestFit="1" customWidth="1"/>
    <col min="6" max="6" width="19.28515625" bestFit="1" customWidth="1"/>
    <col min="8" max="8" width="3.5703125" bestFit="1" customWidth="1"/>
    <col min="9" max="9" width="8.42578125" bestFit="1" customWidth="1"/>
    <col min="14" max="15" width="9.5703125" bestFit="1" customWidth="1"/>
  </cols>
  <sheetData>
    <row r="1" spans="1:19">
      <c r="A1" t="s">
        <v>409</v>
      </c>
      <c r="B1" t="s">
        <v>410</v>
      </c>
      <c r="C1" t="s">
        <v>411</v>
      </c>
      <c r="D1" t="s">
        <v>412</v>
      </c>
      <c r="E1" t="s">
        <v>413</v>
      </c>
      <c r="F1" t="s">
        <v>414</v>
      </c>
      <c r="H1" t="s">
        <v>406</v>
      </c>
      <c r="I1">
        <f>IF(OR(I7=21,I7=22,I7=41,I7=42),1,IF(Country="AU",1,3))</f>
        <v>1</v>
      </c>
      <c r="K1" s="13">
        <v>1.1100000000000001</v>
      </c>
      <c r="L1" s="13">
        <v>1</v>
      </c>
      <c r="N1" t="s">
        <v>415</v>
      </c>
      <c r="O1" t="s">
        <v>50</v>
      </c>
      <c r="S1" t="s">
        <v>472</v>
      </c>
    </row>
    <row r="2" spans="1:19">
      <c r="A2">
        <v>1</v>
      </c>
      <c r="B2" t="s">
        <v>550</v>
      </c>
      <c r="C2">
        <v>9</v>
      </c>
      <c r="D2" t="s">
        <v>713</v>
      </c>
      <c r="E2">
        <v>22.4</v>
      </c>
      <c r="F2">
        <v>20.3</v>
      </c>
      <c r="H2" t="s">
        <v>407</v>
      </c>
      <c r="I2" t="str">
        <f>SNAP_Class_Calcv5</f>
        <v>Data Incomplete</v>
      </c>
      <c r="K2" s="13">
        <v>1.1200000000000001</v>
      </c>
      <c r="L2" s="13">
        <v>1</v>
      </c>
      <c r="N2" s="25" t="str">
        <f>IFERROR(VLOOKUP($I$5,$D:$F,2,0),"—")</f>
        <v>—</v>
      </c>
      <c r="O2" s="25" t="str">
        <f>IFERROR(VLOOKUP($I$5,$D:$F,3,0),"—")</f>
        <v>—</v>
      </c>
      <c r="S2" t="s">
        <v>473</v>
      </c>
    </row>
    <row r="3" spans="1:19">
      <c r="A3">
        <v>1</v>
      </c>
      <c r="B3" t="s">
        <v>520</v>
      </c>
      <c r="C3">
        <v>1</v>
      </c>
      <c r="D3" t="s">
        <v>743</v>
      </c>
      <c r="E3">
        <v>28.1</v>
      </c>
      <c r="F3">
        <v>27.2</v>
      </c>
      <c r="I3">
        <f>AROC_Impairment_Code</f>
        <v>0</v>
      </c>
      <c r="K3" s="13">
        <v>1.1299999999999999</v>
      </c>
      <c r="L3" s="13">
        <v>1</v>
      </c>
      <c r="S3" t="s">
        <v>501</v>
      </c>
    </row>
    <row r="4" spans="1:19">
      <c r="A4">
        <v>3</v>
      </c>
      <c r="B4" t="s">
        <v>529</v>
      </c>
      <c r="C4">
        <v>22</v>
      </c>
      <c r="D4" t="s">
        <v>681</v>
      </c>
      <c r="E4">
        <v>94</v>
      </c>
      <c r="F4">
        <v>56.2</v>
      </c>
      <c r="I4">
        <f>IF(I1=1,IF(COUNTIF($K$1:$K$55,AROC_Impairment_Code),VLOOKUP(AROC_Impairment_Code,$K:$L,2,0),-1),IF(ISERROR(VLOOKUP(AROC_Impairment_Code,K:L,2,0)),-1,IF(OR(VLOOKUP(AROC_Impairment_Code,K:L,2,0)=1,VLOOKUP(AROC_Impairment_Code,K:L,2,0)=2),VLOOKUP(AROC_Impairment_Code,K:L,2,0),-1)))</f>
        <v>-1</v>
      </c>
      <c r="K4" s="13">
        <v>1.1399999999999999</v>
      </c>
      <c r="L4" s="13">
        <v>1</v>
      </c>
      <c r="S4" t="s">
        <v>474</v>
      </c>
    </row>
    <row r="5" spans="1:19">
      <c r="A5">
        <v>1</v>
      </c>
      <c r="B5" t="s">
        <v>556</v>
      </c>
      <c r="C5">
        <v>-1</v>
      </c>
      <c r="D5" t="s">
        <v>736</v>
      </c>
      <c r="E5">
        <v>24.3</v>
      </c>
      <c r="F5">
        <v>26.2</v>
      </c>
      <c r="I5" t="str">
        <f>I1&amp;I2&amp;I4</f>
        <v>1Data Incomplete-1</v>
      </c>
      <c r="K5" s="13">
        <v>1.19</v>
      </c>
      <c r="L5" s="13">
        <v>1</v>
      </c>
      <c r="S5" t="s">
        <v>475</v>
      </c>
    </row>
    <row r="6" spans="1:19" ht="15" customHeight="1">
      <c r="A6">
        <v>3</v>
      </c>
      <c r="B6" t="s">
        <v>517</v>
      </c>
      <c r="C6">
        <v>1</v>
      </c>
      <c r="D6" t="s">
        <v>649</v>
      </c>
      <c r="E6">
        <v>14.2</v>
      </c>
      <c r="F6">
        <v>11.2</v>
      </c>
      <c r="K6" s="13">
        <v>1.21</v>
      </c>
      <c r="L6" s="13">
        <v>1</v>
      </c>
      <c r="S6" t="s">
        <v>611</v>
      </c>
    </row>
    <row r="7" spans="1:19">
      <c r="A7">
        <v>3</v>
      </c>
      <c r="B7" t="s">
        <v>531</v>
      </c>
      <c r="C7">
        <v>-1</v>
      </c>
      <c r="D7" t="s">
        <v>707</v>
      </c>
      <c r="E7">
        <v>21.9</v>
      </c>
      <c r="F7">
        <v>18.3</v>
      </c>
      <c r="I7">
        <f>IFERROR(VLOOKUP(AROC_Impairment_Code,K:L,2,0),-1)</f>
        <v>-1</v>
      </c>
      <c r="K7" s="13">
        <v>1.22</v>
      </c>
      <c r="L7" s="13">
        <v>1</v>
      </c>
      <c r="N7" s="54"/>
    </row>
    <row r="8" spans="1:19">
      <c r="A8">
        <v>3</v>
      </c>
      <c r="B8" t="s">
        <v>534</v>
      </c>
      <c r="C8">
        <v>41</v>
      </c>
      <c r="D8" t="s">
        <v>683</v>
      </c>
      <c r="E8">
        <v>72.599999999999994</v>
      </c>
      <c r="F8">
        <v>28.4</v>
      </c>
      <c r="K8" s="13">
        <v>1.23</v>
      </c>
      <c r="L8" s="13">
        <v>1</v>
      </c>
      <c r="N8" t="s">
        <v>477</v>
      </c>
      <c r="O8" s="31" t="s">
        <v>939</v>
      </c>
    </row>
    <row r="9" spans="1:19">
      <c r="A9">
        <v>1</v>
      </c>
      <c r="B9" t="s">
        <v>512</v>
      </c>
      <c r="C9">
        <v>42</v>
      </c>
      <c r="D9" t="s">
        <v>628</v>
      </c>
      <c r="E9">
        <v>147.80000000000001</v>
      </c>
      <c r="F9">
        <v>23.4</v>
      </c>
      <c r="K9" s="13">
        <v>1.24</v>
      </c>
      <c r="L9" s="13">
        <v>1</v>
      </c>
      <c r="N9" s="54"/>
    </row>
    <row r="10" spans="1:19">
      <c r="A10">
        <v>3</v>
      </c>
      <c r="B10" t="s">
        <v>551</v>
      </c>
      <c r="C10">
        <v>-1</v>
      </c>
      <c r="D10" t="s">
        <v>675</v>
      </c>
      <c r="E10">
        <v>70.5</v>
      </c>
      <c r="F10">
        <v>21.5</v>
      </c>
      <c r="K10" s="13">
        <v>1.29</v>
      </c>
      <c r="L10" s="13">
        <v>1</v>
      </c>
      <c r="N10" t="s">
        <v>500</v>
      </c>
    </row>
    <row r="11" spans="1:19">
      <c r="A11">
        <v>1</v>
      </c>
      <c r="B11" t="s">
        <v>559</v>
      </c>
      <c r="C11">
        <v>-1</v>
      </c>
      <c r="D11" t="s">
        <v>651</v>
      </c>
      <c r="E11">
        <v>28.5</v>
      </c>
      <c r="F11">
        <v>27.9</v>
      </c>
      <c r="K11">
        <v>2.11</v>
      </c>
      <c r="L11">
        <v>21</v>
      </c>
      <c r="N11" t="s">
        <v>477</v>
      </c>
      <c r="O11" s="55">
        <v>45597</v>
      </c>
    </row>
    <row r="12" spans="1:19">
      <c r="A12">
        <v>1</v>
      </c>
      <c r="B12" t="s">
        <v>554</v>
      </c>
      <c r="C12">
        <v>-1</v>
      </c>
      <c r="D12" t="s">
        <v>690</v>
      </c>
      <c r="E12">
        <v>16.3</v>
      </c>
      <c r="F12">
        <v>20.100000000000001</v>
      </c>
      <c r="K12">
        <v>2.12</v>
      </c>
      <c r="L12">
        <v>21</v>
      </c>
    </row>
    <row r="13" spans="1:19">
      <c r="A13">
        <v>1</v>
      </c>
      <c r="B13" t="s">
        <v>524</v>
      </c>
      <c r="C13">
        <v>21</v>
      </c>
      <c r="D13" t="s">
        <v>645</v>
      </c>
      <c r="E13">
        <v>12.8</v>
      </c>
      <c r="F13">
        <v>13.7</v>
      </c>
      <c r="K13">
        <v>2.13</v>
      </c>
      <c r="L13">
        <v>21</v>
      </c>
    </row>
    <row r="14" spans="1:19">
      <c r="A14">
        <v>1</v>
      </c>
      <c r="B14" t="s">
        <v>544</v>
      </c>
      <c r="C14">
        <v>4</v>
      </c>
      <c r="D14" t="s">
        <v>680</v>
      </c>
      <c r="E14">
        <v>14</v>
      </c>
      <c r="F14">
        <v>15.6</v>
      </c>
      <c r="K14">
        <v>2.21</v>
      </c>
      <c r="L14">
        <v>22</v>
      </c>
      <c r="R14" s="32"/>
    </row>
    <row r="15" spans="1:19">
      <c r="A15">
        <v>1</v>
      </c>
      <c r="B15" t="s">
        <v>549</v>
      </c>
      <c r="C15">
        <v>6</v>
      </c>
      <c r="D15" t="s">
        <v>768</v>
      </c>
      <c r="E15">
        <v>25.2</v>
      </c>
      <c r="F15">
        <v>31.5</v>
      </c>
      <c r="K15">
        <v>2.2200000000000002</v>
      </c>
      <c r="L15">
        <v>22</v>
      </c>
      <c r="R15" s="32"/>
    </row>
    <row r="16" spans="1:19">
      <c r="A16">
        <v>3</v>
      </c>
      <c r="B16" t="s">
        <v>550</v>
      </c>
      <c r="C16">
        <v>42</v>
      </c>
      <c r="D16" t="s">
        <v>616</v>
      </c>
      <c r="E16">
        <v>61.3</v>
      </c>
      <c r="F16">
        <v>10.8</v>
      </c>
      <c r="K16">
        <v>4.1109999999999998</v>
      </c>
      <c r="L16">
        <v>41</v>
      </c>
    </row>
    <row r="17" spans="1:12">
      <c r="A17">
        <v>3</v>
      </c>
      <c r="B17" t="s">
        <v>533</v>
      </c>
      <c r="C17">
        <v>41</v>
      </c>
      <c r="D17" t="s">
        <v>692</v>
      </c>
      <c r="E17">
        <v>46.2</v>
      </c>
      <c r="F17">
        <v>14.3</v>
      </c>
      <c r="K17">
        <v>4.1120000000000001</v>
      </c>
      <c r="L17">
        <v>41</v>
      </c>
    </row>
    <row r="18" spans="1:12">
      <c r="A18">
        <v>3</v>
      </c>
      <c r="B18" t="s">
        <v>524</v>
      </c>
      <c r="C18">
        <v>21</v>
      </c>
      <c r="D18" t="s">
        <v>732</v>
      </c>
      <c r="E18">
        <v>12.8</v>
      </c>
      <c r="F18">
        <v>13.7</v>
      </c>
      <c r="K18">
        <v>4.1211000000000002</v>
      </c>
      <c r="L18">
        <v>41</v>
      </c>
    </row>
    <row r="19" spans="1:12">
      <c r="A19">
        <v>3</v>
      </c>
      <c r="B19" t="s">
        <v>536</v>
      </c>
      <c r="C19">
        <v>-1</v>
      </c>
      <c r="D19" t="s">
        <v>626</v>
      </c>
      <c r="E19">
        <v>31.2</v>
      </c>
      <c r="F19">
        <v>16.7</v>
      </c>
      <c r="K19">
        <v>4.1212</v>
      </c>
      <c r="L19">
        <v>41</v>
      </c>
    </row>
    <row r="20" spans="1:12">
      <c r="A20">
        <v>3</v>
      </c>
      <c r="B20" t="s">
        <v>535</v>
      </c>
      <c r="C20">
        <v>41</v>
      </c>
      <c r="D20" t="s">
        <v>712</v>
      </c>
      <c r="E20">
        <v>83.7</v>
      </c>
      <c r="F20">
        <v>33.4</v>
      </c>
      <c r="K20">
        <v>4.1220999999999997</v>
      </c>
      <c r="L20">
        <v>41</v>
      </c>
    </row>
    <row r="21" spans="1:12">
      <c r="A21">
        <v>3</v>
      </c>
      <c r="B21" t="s">
        <v>549</v>
      </c>
      <c r="C21">
        <v>-1</v>
      </c>
      <c r="D21" t="s">
        <v>667</v>
      </c>
      <c r="E21">
        <v>21.6</v>
      </c>
      <c r="F21">
        <v>23.5</v>
      </c>
      <c r="K21">
        <v>4.1222000000000003</v>
      </c>
      <c r="L21">
        <v>41</v>
      </c>
    </row>
    <row r="22" spans="1:12">
      <c r="A22">
        <v>3</v>
      </c>
      <c r="B22" t="s">
        <v>527</v>
      </c>
      <c r="C22">
        <v>22</v>
      </c>
      <c r="D22" t="s">
        <v>772</v>
      </c>
      <c r="E22">
        <v>48</v>
      </c>
      <c r="F22">
        <v>48.7</v>
      </c>
      <c r="K22">
        <v>4.13</v>
      </c>
      <c r="L22">
        <v>41</v>
      </c>
    </row>
    <row r="23" spans="1:12">
      <c r="A23">
        <v>1</v>
      </c>
      <c r="B23" t="s">
        <v>512</v>
      </c>
      <c r="C23">
        <v>-1</v>
      </c>
      <c r="D23" t="s">
        <v>668</v>
      </c>
      <c r="E23">
        <v>90.7</v>
      </c>
      <c r="F23">
        <v>35</v>
      </c>
      <c r="K23">
        <v>4.2110000000000003</v>
      </c>
      <c r="L23">
        <v>42</v>
      </c>
    </row>
    <row r="24" spans="1:12">
      <c r="A24">
        <v>3</v>
      </c>
      <c r="B24" t="s">
        <v>535</v>
      </c>
      <c r="C24">
        <v>42</v>
      </c>
      <c r="D24" t="s">
        <v>660</v>
      </c>
      <c r="E24">
        <v>99.4</v>
      </c>
      <c r="F24">
        <v>38</v>
      </c>
      <c r="K24">
        <v>4.2119999999999997</v>
      </c>
      <c r="L24">
        <v>42</v>
      </c>
    </row>
    <row r="25" spans="1:12">
      <c r="A25">
        <v>3</v>
      </c>
      <c r="B25" t="s">
        <v>521</v>
      </c>
      <c r="C25">
        <v>1</v>
      </c>
      <c r="D25" t="s">
        <v>773</v>
      </c>
      <c r="E25">
        <v>25.8</v>
      </c>
      <c r="F25">
        <v>27.1</v>
      </c>
      <c r="K25">
        <v>4.2210999999999999</v>
      </c>
      <c r="L25">
        <v>42</v>
      </c>
    </row>
    <row r="26" spans="1:12">
      <c r="A26">
        <v>1</v>
      </c>
      <c r="B26" t="s">
        <v>512</v>
      </c>
      <c r="C26">
        <v>22</v>
      </c>
      <c r="D26" t="s">
        <v>700</v>
      </c>
      <c r="E26">
        <v>103</v>
      </c>
      <c r="F26">
        <v>70.400000000000006</v>
      </c>
      <c r="K26">
        <v>4.2211999999999996</v>
      </c>
      <c r="L26">
        <v>42</v>
      </c>
    </row>
    <row r="27" spans="1:12">
      <c r="A27">
        <v>1</v>
      </c>
      <c r="B27" t="s">
        <v>533</v>
      </c>
      <c r="C27">
        <v>42</v>
      </c>
      <c r="D27" t="s">
        <v>710</v>
      </c>
      <c r="E27">
        <v>37.1</v>
      </c>
      <c r="F27">
        <v>12.4</v>
      </c>
      <c r="K27">
        <v>4.2221000000000002</v>
      </c>
      <c r="L27">
        <v>42</v>
      </c>
    </row>
    <row r="28" spans="1:12">
      <c r="A28">
        <v>3</v>
      </c>
      <c r="B28" t="s">
        <v>512</v>
      </c>
      <c r="C28">
        <v>-1</v>
      </c>
      <c r="D28" t="s">
        <v>774</v>
      </c>
      <c r="E28">
        <v>90</v>
      </c>
      <c r="F28">
        <v>28.9</v>
      </c>
      <c r="K28">
        <v>4.2222</v>
      </c>
      <c r="L28">
        <v>42</v>
      </c>
    </row>
    <row r="29" spans="1:12">
      <c r="A29">
        <v>1</v>
      </c>
      <c r="B29" t="s">
        <v>532</v>
      </c>
      <c r="C29">
        <v>-1</v>
      </c>
      <c r="D29" t="s">
        <v>679</v>
      </c>
      <c r="E29">
        <v>29.2</v>
      </c>
      <c r="F29">
        <v>26.5</v>
      </c>
      <c r="K29">
        <v>4.2300000000000004</v>
      </c>
      <c r="L29">
        <v>42</v>
      </c>
    </row>
    <row r="30" spans="1:12">
      <c r="A30">
        <v>1</v>
      </c>
      <c r="B30" t="s">
        <v>548</v>
      </c>
      <c r="C30">
        <v>6</v>
      </c>
      <c r="D30" t="s">
        <v>625</v>
      </c>
      <c r="E30">
        <v>15.5</v>
      </c>
      <c r="F30">
        <v>22.5</v>
      </c>
      <c r="K30">
        <v>7.1</v>
      </c>
      <c r="L30">
        <v>6</v>
      </c>
    </row>
    <row r="31" spans="1:12">
      <c r="A31">
        <v>3</v>
      </c>
      <c r="B31" t="s">
        <v>555</v>
      </c>
      <c r="C31">
        <v>-1</v>
      </c>
      <c r="D31" t="s">
        <v>716</v>
      </c>
      <c r="E31">
        <v>21.8</v>
      </c>
      <c r="F31">
        <v>17.100000000000001</v>
      </c>
      <c r="K31">
        <v>7.2</v>
      </c>
      <c r="L31">
        <v>6</v>
      </c>
    </row>
    <row r="32" spans="1:12">
      <c r="A32">
        <v>1</v>
      </c>
      <c r="B32" t="s">
        <v>534</v>
      </c>
      <c r="C32">
        <v>41</v>
      </c>
      <c r="D32" t="s">
        <v>670</v>
      </c>
      <c r="E32">
        <v>72.599999999999994</v>
      </c>
      <c r="F32">
        <v>28.4</v>
      </c>
      <c r="K32">
        <v>7.3</v>
      </c>
      <c r="L32">
        <v>6</v>
      </c>
    </row>
    <row r="33" spans="1:12">
      <c r="A33">
        <v>3</v>
      </c>
      <c r="B33" t="s">
        <v>552</v>
      </c>
      <c r="C33">
        <v>-1</v>
      </c>
      <c r="D33" t="s">
        <v>669</v>
      </c>
      <c r="E33">
        <v>9.4</v>
      </c>
      <c r="F33">
        <v>6.4</v>
      </c>
      <c r="K33">
        <v>7.4</v>
      </c>
      <c r="L33">
        <v>6</v>
      </c>
    </row>
    <row r="34" spans="1:12">
      <c r="A34">
        <v>3</v>
      </c>
      <c r="B34" t="s">
        <v>524</v>
      </c>
      <c r="C34">
        <v>22</v>
      </c>
      <c r="D34" t="s">
        <v>659</v>
      </c>
      <c r="E34">
        <v>17.600000000000001</v>
      </c>
      <c r="F34">
        <v>10.8</v>
      </c>
      <c r="K34">
        <v>7.5</v>
      </c>
      <c r="L34">
        <v>6</v>
      </c>
    </row>
    <row r="35" spans="1:12">
      <c r="A35">
        <v>1</v>
      </c>
      <c r="B35" t="s">
        <v>526</v>
      </c>
      <c r="C35">
        <v>22</v>
      </c>
      <c r="D35" t="s">
        <v>746</v>
      </c>
      <c r="E35">
        <v>27.7</v>
      </c>
      <c r="F35">
        <v>20.100000000000001</v>
      </c>
      <c r="K35">
        <v>7.9</v>
      </c>
      <c r="L35">
        <v>6</v>
      </c>
    </row>
    <row r="36" spans="1:12">
      <c r="A36">
        <v>1</v>
      </c>
      <c r="B36" t="s">
        <v>512</v>
      </c>
      <c r="C36">
        <v>41</v>
      </c>
      <c r="D36" t="s">
        <v>762</v>
      </c>
      <c r="E36">
        <v>129.1</v>
      </c>
      <c r="F36">
        <v>29.5</v>
      </c>
      <c r="K36">
        <v>8.2110000000000003</v>
      </c>
      <c r="L36">
        <v>3</v>
      </c>
    </row>
    <row r="37" spans="1:12">
      <c r="A37">
        <v>1</v>
      </c>
      <c r="B37" t="s">
        <v>526</v>
      </c>
      <c r="C37">
        <v>21</v>
      </c>
      <c r="D37" t="s">
        <v>627</v>
      </c>
      <c r="E37">
        <v>31.9</v>
      </c>
      <c r="F37">
        <v>18.899999999999999</v>
      </c>
      <c r="K37">
        <v>8.2119999999999997</v>
      </c>
      <c r="L37">
        <v>3</v>
      </c>
    </row>
    <row r="38" spans="1:12">
      <c r="A38">
        <v>1</v>
      </c>
      <c r="B38" t="s">
        <v>551</v>
      </c>
      <c r="C38">
        <v>9</v>
      </c>
      <c r="D38" t="s">
        <v>624</v>
      </c>
      <c r="E38">
        <v>43.4</v>
      </c>
      <c r="F38">
        <v>43</v>
      </c>
      <c r="K38">
        <v>8.2210000000000001</v>
      </c>
      <c r="L38">
        <v>3</v>
      </c>
    </row>
    <row r="39" spans="1:12">
      <c r="A39">
        <v>1</v>
      </c>
      <c r="B39" t="s">
        <v>534</v>
      </c>
      <c r="C39">
        <v>42</v>
      </c>
      <c r="D39" t="s">
        <v>698</v>
      </c>
      <c r="E39">
        <v>74.5</v>
      </c>
      <c r="F39">
        <v>29.8</v>
      </c>
      <c r="K39">
        <v>8.2219999999999995</v>
      </c>
      <c r="L39">
        <v>3</v>
      </c>
    </row>
    <row r="40" spans="1:12">
      <c r="A40">
        <v>3</v>
      </c>
      <c r="B40" t="s">
        <v>525</v>
      </c>
      <c r="C40">
        <v>22</v>
      </c>
      <c r="D40" t="s">
        <v>693</v>
      </c>
      <c r="E40">
        <v>29.7</v>
      </c>
      <c r="F40">
        <v>38.700000000000003</v>
      </c>
      <c r="K40">
        <v>8.2309999999999999</v>
      </c>
      <c r="L40">
        <v>3</v>
      </c>
    </row>
    <row r="41" spans="1:12">
      <c r="A41">
        <v>1</v>
      </c>
      <c r="B41" t="s">
        <v>527</v>
      </c>
      <c r="C41">
        <v>21</v>
      </c>
      <c r="D41" t="s">
        <v>701</v>
      </c>
      <c r="E41">
        <v>38.4</v>
      </c>
      <c r="F41">
        <v>49.4</v>
      </c>
      <c r="K41">
        <v>8.2319999999999993</v>
      </c>
      <c r="L41">
        <v>3</v>
      </c>
    </row>
    <row r="42" spans="1:12">
      <c r="A42">
        <v>3</v>
      </c>
      <c r="B42" t="s">
        <v>513</v>
      </c>
      <c r="C42">
        <v>22</v>
      </c>
      <c r="D42" t="s">
        <v>650</v>
      </c>
      <c r="E42">
        <v>127.5</v>
      </c>
      <c r="F42">
        <v>58</v>
      </c>
      <c r="K42">
        <v>8.24</v>
      </c>
      <c r="L42">
        <v>3</v>
      </c>
    </row>
    <row r="43" spans="1:12">
      <c r="A43">
        <v>3</v>
      </c>
      <c r="B43" t="s">
        <v>512</v>
      </c>
      <c r="C43">
        <v>42</v>
      </c>
      <c r="D43" t="s">
        <v>652</v>
      </c>
      <c r="E43">
        <v>147.80000000000001</v>
      </c>
      <c r="F43">
        <v>23.4</v>
      </c>
      <c r="K43">
        <v>8.25</v>
      </c>
      <c r="L43">
        <v>5</v>
      </c>
    </row>
    <row r="44" spans="1:12">
      <c r="A44">
        <v>3</v>
      </c>
      <c r="B44" t="s">
        <v>527</v>
      </c>
      <c r="C44">
        <v>21</v>
      </c>
      <c r="D44" t="s">
        <v>677</v>
      </c>
      <c r="E44">
        <v>38.4</v>
      </c>
      <c r="F44">
        <v>49.4</v>
      </c>
      <c r="K44">
        <v>8.26</v>
      </c>
      <c r="L44">
        <v>5</v>
      </c>
    </row>
    <row r="45" spans="1:12">
      <c r="A45">
        <v>3</v>
      </c>
      <c r="B45" t="s">
        <v>554</v>
      </c>
      <c r="C45">
        <v>-1</v>
      </c>
      <c r="D45" t="s">
        <v>758</v>
      </c>
      <c r="E45">
        <v>18.2</v>
      </c>
      <c r="F45">
        <v>17.3</v>
      </c>
      <c r="K45">
        <v>8.3000000000000007</v>
      </c>
      <c r="L45">
        <v>4</v>
      </c>
    </row>
    <row r="46" spans="1:12">
      <c r="A46">
        <v>1</v>
      </c>
      <c r="B46" t="s">
        <v>545</v>
      </c>
      <c r="C46">
        <v>5</v>
      </c>
      <c r="D46" t="s">
        <v>654</v>
      </c>
      <c r="E46">
        <v>18.100000000000001</v>
      </c>
      <c r="F46">
        <v>27.6</v>
      </c>
      <c r="K46">
        <v>9.1</v>
      </c>
      <c r="L46">
        <v>7</v>
      </c>
    </row>
    <row r="47" spans="1:12">
      <c r="A47">
        <v>3</v>
      </c>
      <c r="B47" t="s">
        <v>525</v>
      </c>
      <c r="C47">
        <v>21</v>
      </c>
      <c r="D47" t="s">
        <v>632</v>
      </c>
      <c r="E47">
        <v>26.1</v>
      </c>
      <c r="F47">
        <v>33.9</v>
      </c>
      <c r="K47">
        <v>9.1999999999999993</v>
      </c>
      <c r="L47">
        <v>7</v>
      </c>
    </row>
    <row r="48" spans="1:12">
      <c r="A48">
        <v>1</v>
      </c>
      <c r="B48" t="s">
        <v>523</v>
      </c>
      <c r="C48">
        <v>1</v>
      </c>
      <c r="D48" t="s">
        <v>695</v>
      </c>
      <c r="E48">
        <v>53.4</v>
      </c>
      <c r="F48">
        <v>42</v>
      </c>
      <c r="K48">
        <v>9.3000000000000007</v>
      </c>
      <c r="L48">
        <v>7</v>
      </c>
    </row>
    <row r="49" spans="1:12">
      <c r="A49">
        <v>3</v>
      </c>
      <c r="B49" t="s">
        <v>547</v>
      </c>
      <c r="C49">
        <v>-1</v>
      </c>
      <c r="D49" t="s">
        <v>673</v>
      </c>
      <c r="E49">
        <v>15</v>
      </c>
      <c r="F49">
        <v>7.2</v>
      </c>
      <c r="K49">
        <v>10.1</v>
      </c>
      <c r="L49">
        <v>8</v>
      </c>
    </row>
    <row r="50" spans="1:12">
      <c r="A50">
        <v>3</v>
      </c>
      <c r="B50" t="s">
        <v>515</v>
      </c>
      <c r="C50">
        <v>-1</v>
      </c>
      <c r="D50" t="s">
        <v>678</v>
      </c>
      <c r="E50">
        <v>48</v>
      </c>
      <c r="F50">
        <v>25.8</v>
      </c>
      <c r="K50">
        <v>10.199999999999999</v>
      </c>
      <c r="L50">
        <v>8</v>
      </c>
    </row>
    <row r="51" spans="1:12">
      <c r="A51">
        <v>1</v>
      </c>
      <c r="B51" t="s">
        <v>514</v>
      </c>
      <c r="C51">
        <v>1</v>
      </c>
      <c r="D51" t="s">
        <v>721</v>
      </c>
      <c r="E51">
        <v>41.3</v>
      </c>
      <c r="F51">
        <v>18.3</v>
      </c>
      <c r="K51">
        <v>10.9</v>
      </c>
      <c r="L51">
        <v>8</v>
      </c>
    </row>
    <row r="52" spans="1:12">
      <c r="A52">
        <v>3</v>
      </c>
      <c r="B52" t="s">
        <v>523</v>
      </c>
      <c r="C52">
        <v>1</v>
      </c>
      <c r="D52" t="s">
        <v>666</v>
      </c>
      <c r="E52">
        <v>45</v>
      </c>
      <c r="F52">
        <v>37.799999999999997</v>
      </c>
      <c r="K52">
        <v>14.1</v>
      </c>
      <c r="L52">
        <v>42</v>
      </c>
    </row>
    <row r="53" spans="1:12">
      <c r="A53">
        <v>3</v>
      </c>
      <c r="B53" t="s">
        <v>513</v>
      </c>
      <c r="C53">
        <v>41</v>
      </c>
      <c r="D53" t="s">
        <v>662</v>
      </c>
      <c r="E53">
        <v>131.30000000000001</v>
      </c>
      <c r="F53">
        <v>13.5</v>
      </c>
      <c r="K53">
        <v>14.2</v>
      </c>
      <c r="L53">
        <v>22</v>
      </c>
    </row>
    <row r="54" spans="1:12">
      <c r="A54">
        <v>1</v>
      </c>
      <c r="B54" t="s">
        <v>527</v>
      </c>
      <c r="C54">
        <v>22</v>
      </c>
      <c r="D54" t="s">
        <v>711</v>
      </c>
      <c r="E54">
        <v>48</v>
      </c>
      <c r="F54">
        <v>48.7</v>
      </c>
      <c r="K54">
        <v>14.3</v>
      </c>
      <c r="L54">
        <v>42</v>
      </c>
    </row>
    <row r="55" spans="1:12">
      <c r="A55">
        <v>3</v>
      </c>
      <c r="B55" t="s">
        <v>541</v>
      </c>
      <c r="C55">
        <v>-1</v>
      </c>
      <c r="D55" t="s">
        <v>753</v>
      </c>
      <c r="E55">
        <v>10.5</v>
      </c>
      <c r="F55">
        <v>6</v>
      </c>
      <c r="K55">
        <v>14.9</v>
      </c>
      <c r="L55">
        <v>9</v>
      </c>
    </row>
    <row r="56" spans="1:12">
      <c r="A56">
        <v>1</v>
      </c>
      <c r="B56" t="s">
        <v>512</v>
      </c>
      <c r="C56">
        <v>21</v>
      </c>
      <c r="D56" t="s">
        <v>742</v>
      </c>
      <c r="E56">
        <v>130</v>
      </c>
      <c r="F56">
        <v>24.1</v>
      </c>
    </row>
    <row r="57" spans="1:12">
      <c r="A57">
        <v>1</v>
      </c>
      <c r="B57" t="s">
        <v>514</v>
      </c>
      <c r="C57">
        <v>-1</v>
      </c>
      <c r="D57" t="s">
        <v>765</v>
      </c>
      <c r="E57">
        <v>29.4</v>
      </c>
      <c r="F57">
        <v>25.5</v>
      </c>
    </row>
    <row r="58" spans="1:12">
      <c r="A58">
        <v>1</v>
      </c>
      <c r="B58" t="s">
        <v>535</v>
      </c>
      <c r="C58">
        <v>42</v>
      </c>
      <c r="D58" t="s">
        <v>689</v>
      </c>
      <c r="E58">
        <v>99.4</v>
      </c>
      <c r="F58">
        <v>38</v>
      </c>
    </row>
    <row r="59" spans="1:12">
      <c r="A59">
        <v>3</v>
      </c>
      <c r="B59" t="s">
        <v>553</v>
      </c>
      <c r="C59">
        <v>-1</v>
      </c>
      <c r="D59" t="s">
        <v>653</v>
      </c>
      <c r="E59">
        <v>17.100000000000001</v>
      </c>
      <c r="F59">
        <v>11.6</v>
      </c>
    </row>
    <row r="60" spans="1:12">
      <c r="A60">
        <v>3</v>
      </c>
      <c r="B60" t="s">
        <v>539</v>
      </c>
      <c r="C60">
        <v>-1</v>
      </c>
      <c r="D60" t="s">
        <v>633</v>
      </c>
      <c r="E60">
        <v>19.399999999999999</v>
      </c>
      <c r="F60">
        <v>16.100000000000001</v>
      </c>
    </row>
    <row r="61" spans="1:12">
      <c r="A61">
        <v>1</v>
      </c>
      <c r="B61" t="s">
        <v>547</v>
      </c>
      <c r="C61">
        <v>8</v>
      </c>
      <c r="D61" t="s">
        <v>728</v>
      </c>
      <c r="E61">
        <v>11.9</v>
      </c>
      <c r="F61">
        <v>12.2</v>
      </c>
    </row>
    <row r="62" spans="1:12">
      <c r="A62">
        <v>1</v>
      </c>
      <c r="B62" t="s">
        <v>514</v>
      </c>
      <c r="C62">
        <v>4</v>
      </c>
      <c r="D62" t="s">
        <v>724</v>
      </c>
      <c r="E62">
        <v>29.4</v>
      </c>
      <c r="F62">
        <v>25.5</v>
      </c>
    </row>
    <row r="63" spans="1:12">
      <c r="A63">
        <v>3</v>
      </c>
      <c r="B63" t="s">
        <v>551</v>
      </c>
      <c r="C63">
        <v>22</v>
      </c>
      <c r="D63" t="s">
        <v>708</v>
      </c>
      <c r="E63">
        <v>71.400000000000006</v>
      </c>
      <c r="F63">
        <v>54.3</v>
      </c>
    </row>
    <row r="64" spans="1:12">
      <c r="A64">
        <v>1</v>
      </c>
      <c r="B64" t="s">
        <v>528</v>
      </c>
      <c r="C64">
        <v>21</v>
      </c>
      <c r="D64" t="s">
        <v>754</v>
      </c>
      <c r="E64">
        <v>44.1</v>
      </c>
      <c r="F64">
        <v>29</v>
      </c>
    </row>
    <row r="65" spans="1:6">
      <c r="A65">
        <v>3</v>
      </c>
      <c r="B65" t="s">
        <v>550</v>
      </c>
      <c r="C65">
        <v>-1</v>
      </c>
      <c r="D65" t="s">
        <v>775</v>
      </c>
      <c r="E65">
        <v>21</v>
      </c>
      <c r="F65">
        <v>26.5</v>
      </c>
    </row>
    <row r="66" spans="1:6">
      <c r="A66">
        <v>1</v>
      </c>
      <c r="B66" t="s">
        <v>515</v>
      </c>
      <c r="C66">
        <v>3</v>
      </c>
      <c r="D66" t="s">
        <v>634</v>
      </c>
      <c r="E66">
        <v>42.8</v>
      </c>
      <c r="F66">
        <v>27.9</v>
      </c>
    </row>
    <row r="67" spans="1:6">
      <c r="A67">
        <v>3</v>
      </c>
      <c r="B67" t="s">
        <v>518</v>
      </c>
      <c r="C67">
        <v>1</v>
      </c>
      <c r="D67" t="s">
        <v>641</v>
      </c>
      <c r="E67">
        <v>27.6</v>
      </c>
      <c r="F67">
        <v>15.1</v>
      </c>
    </row>
    <row r="68" spans="1:6">
      <c r="A68">
        <v>1</v>
      </c>
      <c r="B68" t="s">
        <v>514</v>
      </c>
      <c r="C68">
        <v>6</v>
      </c>
      <c r="D68" t="s">
        <v>764</v>
      </c>
      <c r="E68">
        <v>29.4</v>
      </c>
      <c r="F68">
        <v>25.5</v>
      </c>
    </row>
    <row r="69" spans="1:6">
      <c r="A69">
        <v>1</v>
      </c>
      <c r="B69" t="s">
        <v>515</v>
      </c>
      <c r="C69">
        <v>1</v>
      </c>
      <c r="D69" t="s">
        <v>688</v>
      </c>
      <c r="E69">
        <v>67.5</v>
      </c>
      <c r="F69">
        <v>33.5</v>
      </c>
    </row>
    <row r="70" spans="1:6">
      <c r="A70">
        <v>3</v>
      </c>
      <c r="B70" t="s">
        <v>546</v>
      </c>
      <c r="C70">
        <v>-1</v>
      </c>
      <c r="D70" t="s">
        <v>745</v>
      </c>
      <c r="E70">
        <v>23.7</v>
      </c>
      <c r="F70">
        <v>28.3</v>
      </c>
    </row>
    <row r="71" spans="1:6">
      <c r="A71">
        <v>3</v>
      </c>
      <c r="B71" t="s">
        <v>538</v>
      </c>
      <c r="C71">
        <v>-1</v>
      </c>
      <c r="D71" t="s">
        <v>696</v>
      </c>
      <c r="E71">
        <v>15.9</v>
      </c>
      <c r="F71">
        <v>16.3</v>
      </c>
    </row>
    <row r="72" spans="1:6">
      <c r="A72">
        <v>1</v>
      </c>
      <c r="B72" t="s">
        <v>513</v>
      </c>
      <c r="C72">
        <v>9</v>
      </c>
      <c r="D72" t="s">
        <v>702</v>
      </c>
      <c r="E72">
        <v>47.2</v>
      </c>
      <c r="F72">
        <v>61.9</v>
      </c>
    </row>
    <row r="73" spans="1:6">
      <c r="A73">
        <v>1</v>
      </c>
      <c r="B73" t="s">
        <v>542</v>
      </c>
      <c r="C73">
        <v>3</v>
      </c>
      <c r="D73" t="s">
        <v>740</v>
      </c>
      <c r="E73">
        <v>12.6</v>
      </c>
      <c r="F73">
        <v>26.4</v>
      </c>
    </row>
    <row r="74" spans="1:6">
      <c r="A74">
        <v>1</v>
      </c>
      <c r="B74" t="s">
        <v>538</v>
      </c>
      <c r="C74">
        <v>-1</v>
      </c>
      <c r="D74" t="s">
        <v>725</v>
      </c>
      <c r="E74">
        <v>17</v>
      </c>
      <c r="F74">
        <v>20</v>
      </c>
    </row>
    <row r="75" spans="1:6">
      <c r="A75">
        <v>3</v>
      </c>
      <c r="B75" t="s">
        <v>528</v>
      </c>
      <c r="C75">
        <v>21</v>
      </c>
      <c r="D75" t="s">
        <v>647</v>
      </c>
      <c r="E75">
        <v>44.1</v>
      </c>
      <c r="F75">
        <v>29</v>
      </c>
    </row>
    <row r="76" spans="1:6">
      <c r="A76">
        <v>1</v>
      </c>
      <c r="B76" t="s">
        <v>529</v>
      </c>
      <c r="C76">
        <v>21</v>
      </c>
      <c r="D76" t="s">
        <v>749</v>
      </c>
      <c r="E76">
        <v>70.099999999999994</v>
      </c>
      <c r="F76">
        <v>46.6</v>
      </c>
    </row>
    <row r="77" spans="1:6">
      <c r="A77">
        <v>1</v>
      </c>
      <c r="B77" t="s">
        <v>537</v>
      </c>
      <c r="C77">
        <v>-1</v>
      </c>
      <c r="D77" t="s">
        <v>699</v>
      </c>
      <c r="E77">
        <v>15.6</v>
      </c>
      <c r="F77">
        <v>17.399999999999999</v>
      </c>
    </row>
    <row r="78" spans="1:6">
      <c r="A78">
        <v>1</v>
      </c>
      <c r="B78" t="s">
        <v>550</v>
      </c>
      <c r="C78">
        <v>42</v>
      </c>
      <c r="D78" t="s">
        <v>718</v>
      </c>
      <c r="E78">
        <v>61.3</v>
      </c>
      <c r="F78">
        <v>10.8</v>
      </c>
    </row>
    <row r="79" spans="1:6">
      <c r="A79">
        <v>1</v>
      </c>
      <c r="B79" t="s">
        <v>539</v>
      </c>
      <c r="C79">
        <v>-1</v>
      </c>
      <c r="D79" t="s">
        <v>615</v>
      </c>
      <c r="E79">
        <v>20</v>
      </c>
      <c r="F79">
        <v>19.2</v>
      </c>
    </row>
    <row r="80" spans="1:6">
      <c r="A80">
        <v>3</v>
      </c>
      <c r="B80" t="s">
        <v>514</v>
      </c>
      <c r="C80">
        <v>-1</v>
      </c>
      <c r="D80" t="s">
        <v>717</v>
      </c>
      <c r="E80">
        <v>30.5</v>
      </c>
      <c r="F80">
        <v>22.3</v>
      </c>
    </row>
    <row r="81" spans="1:6">
      <c r="A81">
        <v>1</v>
      </c>
      <c r="B81" t="s">
        <v>513</v>
      </c>
      <c r="C81">
        <v>42</v>
      </c>
      <c r="D81" t="s">
        <v>619</v>
      </c>
      <c r="E81">
        <v>142.19999999999999</v>
      </c>
      <c r="F81">
        <v>25</v>
      </c>
    </row>
    <row r="82" spans="1:6">
      <c r="A82">
        <v>3</v>
      </c>
      <c r="B82" t="s">
        <v>530</v>
      </c>
      <c r="C82">
        <v>-1</v>
      </c>
      <c r="D82" t="s">
        <v>663</v>
      </c>
      <c r="E82">
        <v>19.899999999999999</v>
      </c>
      <c r="F82">
        <v>3.3</v>
      </c>
    </row>
    <row r="83" spans="1:6">
      <c r="A83">
        <v>3</v>
      </c>
      <c r="B83" t="s">
        <v>522</v>
      </c>
      <c r="C83">
        <v>1</v>
      </c>
      <c r="D83" t="s">
        <v>697</v>
      </c>
      <c r="E83">
        <v>40.700000000000003</v>
      </c>
      <c r="F83">
        <v>33.4</v>
      </c>
    </row>
    <row r="84" spans="1:6">
      <c r="A84">
        <v>1</v>
      </c>
      <c r="B84" t="s">
        <v>529</v>
      </c>
      <c r="C84">
        <v>22</v>
      </c>
      <c r="D84" t="s">
        <v>629</v>
      </c>
      <c r="E84">
        <v>94</v>
      </c>
      <c r="F84">
        <v>56.2</v>
      </c>
    </row>
    <row r="85" spans="1:6">
      <c r="A85">
        <v>3</v>
      </c>
      <c r="B85" t="s">
        <v>520</v>
      </c>
      <c r="C85">
        <v>1</v>
      </c>
      <c r="D85" t="s">
        <v>684</v>
      </c>
      <c r="E85">
        <v>33.9</v>
      </c>
      <c r="F85">
        <v>24</v>
      </c>
    </row>
    <row r="86" spans="1:6">
      <c r="A86">
        <v>1</v>
      </c>
      <c r="B86" t="s">
        <v>548</v>
      </c>
      <c r="C86">
        <v>7</v>
      </c>
      <c r="D86" t="s">
        <v>630</v>
      </c>
      <c r="E86">
        <v>15.2</v>
      </c>
      <c r="F86">
        <v>23.4</v>
      </c>
    </row>
    <row r="87" spans="1:6">
      <c r="A87">
        <v>1</v>
      </c>
      <c r="B87" t="s">
        <v>525</v>
      </c>
      <c r="C87">
        <v>21</v>
      </c>
      <c r="D87" t="s">
        <v>769</v>
      </c>
      <c r="E87">
        <v>26.1</v>
      </c>
      <c r="F87">
        <v>33.9</v>
      </c>
    </row>
    <row r="88" spans="1:6">
      <c r="A88">
        <v>3</v>
      </c>
      <c r="B88" t="s">
        <v>519</v>
      </c>
      <c r="C88">
        <v>1</v>
      </c>
      <c r="D88" t="s">
        <v>674</v>
      </c>
      <c r="E88">
        <v>19.600000000000001</v>
      </c>
      <c r="F88">
        <v>22.6</v>
      </c>
    </row>
    <row r="89" spans="1:6">
      <c r="A89">
        <v>3</v>
      </c>
      <c r="B89" t="s">
        <v>559</v>
      </c>
      <c r="C89">
        <v>-1</v>
      </c>
      <c r="D89" t="s">
        <v>638</v>
      </c>
      <c r="E89">
        <v>34.5</v>
      </c>
      <c r="F89">
        <v>23.9</v>
      </c>
    </row>
    <row r="90" spans="1:6">
      <c r="A90">
        <v>3</v>
      </c>
      <c r="B90" t="s">
        <v>540</v>
      </c>
      <c r="C90">
        <v>-1</v>
      </c>
      <c r="D90" t="s">
        <v>747</v>
      </c>
      <c r="E90">
        <v>23.5</v>
      </c>
      <c r="F90">
        <v>29.8</v>
      </c>
    </row>
    <row r="91" spans="1:6">
      <c r="A91">
        <v>1</v>
      </c>
      <c r="B91" t="s">
        <v>553</v>
      </c>
      <c r="C91">
        <v>-1</v>
      </c>
      <c r="D91" t="s">
        <v>657</v>
      </c>
      <c r="E91">
        <v>14.5</v>
      </c>
      <c r="F91">
        <v>12.5</v>
      </c>
    </row>
    <row r="92" spans="1:6">
      <c r="A92">
        <v>1</v>
      </c>
      <c r="B92" t="s">
        <v>513</v>
      </c>
      <c r="C92">
        <v>22</v>
      </c>
      <c r="D92" t="s">
        <v>643</v>
      </c>
      <c r="E92">
        <v>127.5</v>
      </c>
      <c r="F92">
        <v>58</v>
      </c>
    </row>
    <row r="93" spans="1:6">
      <c r="A93">
        <v>1</v>
      </c>
      <c r="B93" t="s">
        <v>525</v>
      </c>
      <c r="C93">
        <v>22</v>
      </c>
      <c r="D93" t="s">
        <v>738</v>
      </c>
      <c r="E93">
        <v>29.7</v>
      </c>
      <c r="F93">
        <v>38.700000000000003</v>
      </c>
    </row>
    <row r="94" spans="1:6">
      <c r="A94">
        <v>1</v>
      </c>
      <c r="B94" t="s">
        <v>548</v>
      </c>
      <c r="C94">
        <v>8</v>
      </c>
      <c r="D94" t="s">
        <v>623</v>
      </c>
      <c r="E94">
        <v>15.9</v>
      </c>
      <c r="F94">
        <v>22.5</v>
      </c>
    </row>
    <row r="95" spans="1:6">
      <c r="A95">
        <v>3</v>
      </c>
      <c r="B95" t="s">
        <v>526</v>
      </c>
      <c r="C95">
        <v>22</v>
      </c>
      <c r="D95" t="s">
        <v>757</v>
      </c>
      <c r="E95">
        <v>27.7</v>
      </c>
      <c r="F95">
        <v>20.100000000000001</v>
      </c>
    </row>
    <row r="96" spans="1:6">
      <c r="A96">
        <v>3</v>
      </c>
      <c r="B96" t="s">
        <v>515</v>
      </c>
      <c r="C96">
        <v>1</v>
      </c>
      <c r="D96" t="s">
        <v>664</v>
      </c>
      <c r="E96">
        <v>64.8</v>
      </c>
      <c r="F96">
        <v>28.3</v>
      </c>
    </row>
    <row r="97" spans="1:6">
      <c r="A97">
        <v>1</v>
      </c>
      <c r="B97" t="s">
        <v>552</v>
      </c>
      <c r="C97">
        <v>-1</v>
      </c>
      <c r="D97" t="s">
        <v>705</v>
      </c>
      <c r="E97">
        <v>12.1</v>
      </c>
      <c r="F97">
        <v>11.5</v>
      </c>
    </row>
    <row r="98" spans="1:6">
      <c r="A98">
        <v>1</v>
      </c>
      <c r="B98" t="s">
        <v>555</v>
      </c>
      <c r="C98">
        <v>-1</v>
      </c>
      <c r="D98" t="s">
        <v>715</v>
      </c>
      <c r="E98">
        <v>20.8</v>
      </c>
      <c r="F98">
        <v>18</v>
      </c>
    </row>
    <row r="99" spans="1:6">
      <c r="A99">
        <v>1</v>
      </c>
      <c r="B99" t="s">
        <v>528</v>
      </c>
      <c r="C99">
        <v>22</v>
      </c>
      <c r="D99" t="s">
        <v>767</v>
      </c>
      <c r="E99">
        <v>46.5</v>
      </c>
      <c r="F99">
        <v>34.299999999999997</v>
      </c>
    </row>
    <row r="100" spans="1:6">
      <c r="A100">
        <v>1</v>
      </c>
      <c r="B100" t="s">
        <v>558</v>
      </c>
      <c r="C100">
        <v>-1</v>
      </c>
      <c r="D100" t="s">
        <v>661</v>
      </c>
      <c r="E100">
        <v>20.7</v>
      </c>
      <c r="F100">
        <v>23</v>
      </c>
    </row>
    <row r="101" spans="1:6">
      <c r="A101">
        <v>3</v>
      </c>
      <c r="B101" t="s">
        <v>534</v>
      </c>
      <c r="C101">
        <v>42</v>
      </c>
      <c r="D101" t="s">
        <v>639</v>
      </c>
      <c r="E101">
        <v>74.5</v>
      </c>
      <c r="F101">
        <v>29.8</v>
      </c>
    </row>
    <row r="102" spans="1:6">
      <c r="A102">
        <v>1</v>
      </c>
      <c r="B102" t="s">
        <v>514</v>
      </c>
      <c r="C102">
        <v>8</v>
      </c>
      <c r="D102" t="s">
        <v>704</v>
      </c>
      <c r="E102">
        <v>29.4</v>
      </c>
      <c r="F102">
        <v>25.5</v>
      </c>
    </row>
    <row r="103" spans="1:6">
      <c r="A103">
        <v>3</v>
      </c>
      <c r="B103" t="s">
        <v>512</v>
      </c>
      <c r="C103">
        <v>41</v>
      </c>
      <c r="D103" t="s">
        <v>739</v>
      </c>
      <c r="E103">
        <v>129.1</v>
      </c>
      <c r="F103">
        <v>29.5</v>
      </c>
    </row>
    <row r="104" spans="1:6">
      <c r="A104">
        <v>1</v>
      </c>
      <c r="B104" t="s">
        <v>547</v>
      </c>
      <c r="C104">
        <v>6</v>
      </c>
      <c r="D104" t="s">
        <v>714</v>
      </c>
      <c r="E104">
        <v>11.5</v>
      </c>
      <c r="F104">
        <v>10.8</v>
      </c>
    </row>
    <row r="105" spans="1:6">
      <c r="A105">
        <v>1</v>
      </c>
      <c r="B105" t="s">
        <v>551</v>
      </c>
      <c r="C105">
        <v>22</v>
      </c>
      <c r="D105" t="s">
        <v>658</v>
      </c>
      <c r="E105">
        <v>71.400000000000006</v>
      </c>
      <c r="F105">
        <v>54.3</v>
      </c>
    </row>
    <row r="106" spans="1:6">
      <c r="A106">
        <v>1</v>
      </c>
      <c r="B106" t="s">
        <v>546</v>
      </c>
      <c r="C106">
        <v>5</v>
      </c>
      <c r="D106" t="s">
        <v>618</v>
      </c>
      <c r="E106">
        <v>29.6</v>
      </c>
      <c r="F106">
        <v>34.1</v>
      </c>
    </row>
    <row r="107" spans="1:6">
      <c r="A107">
        <v>1</v>
      </c>
      <c r="B107" t="s">
        <v>531</v>
      </c>
      <c r="C107">
        <v>-1</v>
      </c>
      <c r="D107" t="s">
        <v>686</v>
      </c>
      <c r="E107">
        <v>17.8</v>
      </c>
      <c r="F107">
        <v>19.399999999999999</v>
      </c>
    </row>
    <row r="108" spans="1:6">
      <c r="A108">
        <v>3</v>
      </c>
      <c r="B108" t="s">
        <v>558</v>
      </c>
      <c r="C108">
        <v>-1</v>
      </c>
      <c r="D108" t="s">
        <v>617</v>
      </c>
      <c r="E108">
        <v>18.2</v>
      </c>
      <c r="F108">
        <v>17.100000000000001</v>
      </c>
    </row>
    <row r="109" spans="1:6">
      <c r="A109">
        <v>3</v>
      </c>
      <c r="B109" t="s">
        <v>528</v>
      </c>
      <c r="C109">
        <v>22</v>
      </c>
      <c r="D109" t="s">
        <v>676</v>
      </c>
      <c r="E109">
        <v>46.5</v>
      </c>
      <c r="F109">
        <v>34.299999999999997</v>
      </c>
    </row>
    <row r="110" spans="1:6">
      <c r="A110">
        <v>1</v>
      </c>
      <c r="B110" t="s">
        <v>518</v>
      </c>
      <c r="C110">
        <v>1</v>
      </c>
      <c r="D110" t="s">
        <v>750</v>
      </c>
      <c r="E110">
        <v>25</v>
      </c>
      <c r="F110">
        <v>16.899999999999999</v>
      </c>
    </row>
    <row r="111" spans="1:6">
      <c r="A111">
        <v>3</v>
      </c>
      <c r="B111" t="s">
        <v>550</v>
      </c>
      <c r="C111">
        <v>22</v>
      </c>
      <c r="D111" t="s">
        <v>672</v>
      </c>
      <c r="E111">
        <v>28</v>
      </c>
      <c r="F111">
        <v>24</v>
      </c>
    </row>
    <row r="112" spans="1:6">
      <c r="A112">
        <v>1</v>
      </c>
      <c r="B112" t="s">
        <v>524</v>
      </c>
      <c r="C112">
        <v>22</v>
      </c>
      <c r="D112" t="s">
        <v>763</v>
      </c>
      <c r="E112">
        <v>17.600000000000001</v>
      </c>
      <c r="F112">
        <v>10.8</v>
      </c>
    </row>
    <row r="113" spans="1:6">
      <c r="A113">
        <v>3</v>
      </c>
      <c r="B113" t="s">
        <v>513</v>
      </c>
      <c r="C113">
        <v>42</v>
      </c>
      <c r="D113" t="s">
        <v>709</v>
      </c>
      <c r="E113">
        <v>142.19999999999999</v>
      </c>
      <c r="F113">
        <v>25</v>
      </c>
    </row>
    <row r="114" spans="1:6">
      <c r="A114">
        <v>1</v>
      </c>
      <c r="B114" t="s">
        <v>547</v>
      </c>
      <c r="C114">
        <v>7</v>
      </c>
      <c r="D114" t="s">
        <v>636</v>
      </c>
      <c r="E114">
        <v>10.6</v>
      </c>
      <c r="F114">
        <v>12.8</v>
      </c>
    </row>
    <row r="115" spans="1:6">
      <c r="A115">
        <v>1</v>
      </c>
      <c r="B115" t="s">
        <v>549</v>
      </c>
      <c r="C115">
        <v>8</v>
      </c>
      <c r="D115" t="s">
        <v>655</v>
      </c>
      <c r="E115">
        <v>27.6</v>
      </c>
      <c r="F115">
        <v>27</v>
      </c>
    </row>
    <row r="116" spans="1:6">
      <c r="A116">
        <v>1</v>
      </c>
      <c r="B116" t="s">
        <v>551</v>
      </c>
      <c r="C116">
        <v>42</v>
      </c>
      <c r="D116" t="s">
        <v>644</v>
      </c>
      <c r="E116">
        <v>104</v>
      </c>
      <c r="F116">
        <v>29.2</v>
      </c>
    </row>
    <row r="117" spans="1:6">
      <c r="A117">
        <v>3</v>
      </c>
      <c r="B117" t="s">
        <v>542</v>
      </c>
      <c r="C117">
        <v>-1</v>
      </c>
      <c r="D117" t="s">
        <v>631</v>
      </c>
      <c r="E117">
        <v>14</v>
      </c>
      <c r="F117">
        <v>17.5</v>
      </c>
    </row>
    <row r="118" spans="1:6">
      <c r="A118">
        <v>1</v>
      </c>
      <c r="B118" t="s">
        <v>513</v>
      </c>
      <c r="C118">
        <v>41</v>
      </c>
      <c r="D118" t="s">
        <v>691</v>
      </c>
      <c r="E118">
        <v>131.30000000000001</v>
      </c>
      <c r="F118">
        <v>13.5</v>
      </c>
    </row>
    <row r="119" spans="1:6">
      <c r="A119">
        <v>1</v>
      </c>
      <c r="B119" t="s">
        <v>522</v>
      </c>
      <c r="C119">
        <v>1</v>
      </c>
      <c r="D119" t="s">
        <v>614</v>
      </c>
      <c r="E119">
        <v>40.700000000000003</v>
      </c>
      <c r="F119">
        <v>34.9</v>
      </c>
    </row>
    <row r="120" spans="1:6">
      <c r="A120">
        <v>3</v>
      </c>
      <c r="B120" t="s">
        <v>513</v>
      </c>
      <c r="C120">
        <v>21</v>
      </c>
      <c r="D120" t="s">
        <v>771</v>
      </c>
      <c r="E120">
        <v>124.6</v>
      </c>
      <c r="F120">
        <v>56.6</v>
      </c>
    </row>
    <row r="121" spans="1:6">
      <c r="A121">
        <v>3</v>
      </c>
      <c r="B121" t="s">
        <v>557</v>
      </c>
      <c r="C121">
        <v>-1</v>
      </c>
      <c r="D121" t="s">
        <v>687</v>
      </c>
      <c r="E121">
        <v>15.7</v>
      </c>
      <c r="F121">
        <v>13.1</v>
      </c>
    </row>
    <row r="122" spans="1:6">
      <c r="A122">
        <v>1</v>
      </c>
      <c r="B122" t="s">
        <v>521</v>
      </c>
      <c r="C122">
        <v>1</v>
      </c>
      <c r="D122" t="s">
        <v>723</v>
      </c>
      <c r="E122">
        <v>33.299999999999997</v>
      </c>
      <c r="F122">
        <v>29</v>
      </c>
    </row>
    <row r="123" spans="1:6">
      <c r="A123">
        <v>3</v>
      </c>
      <c r="B123" t="s">
        <v>545</v>
      </c>
      <c r="C123">
        <v>-1</v>
      </c>
      <c r="D123" t="s">
        <v>734</v>
      </c>
      <c r="E123">
        <v>20.6</v>
      </c>
      <c r="F123">
        <v>19.7</v>
      </c>
    </row>
    <row r="124" spans="1:6">
      <c r="A124">
        <v>1</v>
      </c>
      <c r="B124" t="s">
        <v>514</v>
      </c>
      <c r="C124">
        <v>7</v>
      </c>
      <c r="D124" t="s">
        <v>761</v>
      </c>
      <c r="E124">
        <v>29.4</v>
      </c>
      <c r="F124">
        <v>25.5</v>
      </c>
    </row>
    <row r="125" spans="1:6">
      <c r="A125">
        <v>1</v>
      </c>
      <c r="B125" t="s">
        <v>514</v>
      </c>
      <c r="C125">
        <v>5</v>
      </c>
      <c r="D125" t="s">
        <v>756</v>
      </c>
      <c r="E125">
        <v>29.4</v>
      </c>
      <c r="F125">
        <v>25.5</v>
      </c>
    </row>
    <row r="126" spans="1:6">
      <c r="A126">
        <v>1</v>
      </c>
      <c r="B126" t="s">
        <v>543</v>
      </c>
      <c r="C126">
        <v>3</v>
      </c>
      <c r="D126" t="s">
        <v>694</v>
      </c>
      <c r="E126">
        <v>20.3</v>
      </c>
      <c r="F126">
        <v>37</v>
      </c>
    </row>
    <row r="127" spans="1:6">
      <c r="A127">
        <v>1</v>
      </c>
      <c r="B127" t="s">
        <v>536</v>
      </c>
      <c r="C127">
        <v>-1</v>
      </c>
      <c r="D127" t="s">
        <v>759</v>
      </c>
      <c r="E127">
        <v>31.3</v>
      </c>
      <c r="F127">
        <v>17.7</v>
      </c>
    </row>
    <row r="128" spans="1:6">
      <c r="A128">
        <v>1</v>
      </c>
      <c r="B128" t="s">
        <v>515</v>
      </c>
      <c r="C128">
        <v>4</v>
      </c>
      <c r="D128" t="s">
        <v>706</v>
      </c>
      <c r="E128">
        <v>42.8</v>
      </c>
      <c r="F128">
        <v>27.9</v>
      </c>
    </row>
    <row r="129" spans="1:6">
      <c r="A129">
        <v>1</v>
      </c>
      <c r="B129" t="s">
        <v>540</v>
      </c>
      <c r="C129">
        <v>-1</v>
      </c>
      <c r="D129" t="s">
        <v>622</v>
      </c>
      <c r="E129">
        <v>25.9</v>
      </c>
      <c r="F129">
        <v>31.1</v>
      </c>
    </row>
    <row r="130" spans="1:6">
      <c r="A130">
        <v>3</v>
      </c>
      <c r="B130" t="s">
        <v>532</v>
      </c>
      <c r="C130">
        <v>-1</v>
      </c>
      <c r="D130" t="s">
        <v>621</v>
      </c>
      <c r="E130">
        <v>27.1</v>
      </c>
      <c r="F130">
        <v>27.4</v>
      </c>
    </row>
    <row r="131" spans="1:6">
      <c r="A131">
        <v>3</v>
      </c>
      <c r="B131" t="s">
        <v>533</v>
      </c>
      <c r="C131">
        <v>42</v>
      </c>
      <c r="D131" t="s">
        <v>648</v>
      </c>
      <c r="E131">
        <v>37.1</v>
      </c>
      <c r="F131">
        <v>12.4</v>
      </c>
    </row>
    <row r="132" spans="1:6">
      <c r="A132">
        <v>1</v>
      </c>
      <c r="B132" t="s">
        <v>557</v>
      </c>
      <c r="C132">
        <v>-1</v>
      </c>
      <c r="D132" t="s">
        <v>640</v>
      </c>
      <c r="E132">
        <v>15.9</v>
      </c>
      <c r="F132">
        <v>12.5</v>
      </c>
    </row>
    <row r="133" spans="1:6">
      <c r="A133">
        <v>3</v>
      </c>
      <c r="B133" t="s">
        <v>544</v>
      </c>
      <c r="C133">
        <v>-1</v>
      </c>
      <c r="D133" t="s">
        <v>741</v>
      </c>
      <c r="E133">
        <v>19.2</v>
      </c>
      <c r="F133">
        <v>13.1</v>
      </c>
    </row>
    <row r="134" spans="1:6">
      <c r="A134">
        <v>3</v>
      </c>
      <c r="B134" t="s">
        <v>512</v>
      </c>
      <c r="C134">
        <v>21</v>
      </c>
      <c r="D134" t="s">
        <v>735</v>
      </c>
      <c r="E134">
        <v>130</v>
      </c>
      <c r="F134">
        <v>24.1</v>
      </c>
    </row>
    <row r="135" spans="1:6">
      <c r="A135">
        <v>1</v>
      </c>
      <c r="B135" t="s">
        <v>533</v>
      </c>
      <c r="C135">
        <v>41</v>
      </c>
      <c r="D135" t="s">
        <v>727</v>
      </c>
      <c r="E135">
        <v>46.2</v>
      </c>
      <c r="F135">
        <v>14.3</v>
      </c>
    </row>
    <row r="136" spans="1:6">
      <c r="A136">
        <v>1</v>
      </c>
      <c r="B136" t="s">
        <v>550</v>
      </c>
      <c r="C136">
        <v>22</v>
      </c>
      <c r="D136" t="s">
        <v>748</v>
      </c>
      <c r="E136">
        <v>28</v>
      </c>
      <c r="F136">
        <v>24</v>
      </c>
    </row>
    <row r="137" spans="1:6">
      <c r="A137">
        <v>3</v>
      </c>
      <c r="B137" t="s">
        <v>543</v>
      </c>
      <c r="C137">
        <v>-1</v>
      </c>
      <c r="D137" t="s">
        <v>646</v>
      </c>
      <c r="E137">
        <v>26.2</v>
      </c>
      <c r="F137">
        <v>28.8</v>
      </c>
    </row>
    <row r="138" spans="1:6">
      <c r="A138">
        <v>1</v>
      </c>
      <c r="B138" t="s">
        <v>516</v>
      </c>
      <c r="C138">
        <v>1</v>
      </c>
      <c r="D138" t="s">
        <v>620</v>
      </c>
      <c r="E138">
        <v>12.4</v>
      </c>
      <c r="F138">
        <v>10.8</v>
      </c>
    </row>
    <row r="139" spans="1:6">
      <c r="A139">
        <v>3</v>
      </c>
      <c r="B139" t="s">
        <v>537</v>
      </c>
      <c r="C139">
        <v>-1</v>
      </c>
      <c r="D139" t="s">
        <v>731</v>
      </c>
      <c r="E139">
        <v>13.7</v>
      </c>
      <c r="F139">
        <v>15</v>
      </c>
    </row>
    <row r="140" spans="1:6">
      <c r="A140">
        <v>3</v>
      </c>
      <c r="B140" t="s">
        <v>512</v>
      </c>
      <c r="C140">
        <v>22</v>
      </c>
      <c r="D140" t="s">
        <v>635</v>
      </c>
      <c r="E140">
        <v>103</v>
      </c>
      <c r="F140">
        <v>70.400000000000006</v>
      </c>
    </row>
    <row r="141" spans="1:6">
      <c r="A141">
        <v>3</v>
      </c>
      <c r="B141" t="s">
        <v>529</v>
      </c>
      <c r="C141">
        <v>21</v>
      </c>
      <c r="D141" t="s">
        <v>665</v>
      </c>
      <c r="E141">
        <v>70.099999999999994</v>
      </c>
      <c r="F141">
        <v>46.6</v>
      </c>
    </row>
    <row r="142" spans="1:6">
      <c r="A142">
        <v>1</v>
      </c>
      <c r="B142" t="s">
        <v>512</v>
      </c>
      <c r="C142">
        <v>9</v>
      </c>
      <c r="D142" t="s">
        <v>726</v>
      </c>
      <c r="E142">
        <v>58.3</v>
      </c>
      <c r="F142">
        <v>70.7</v>
      </c>
    </row>
    <row r="143" spans="1:6">
      <c r="A143">
        <v>1</v>
      </c>
      <c r="B143" t="s">
        <v>515</v>
      </c>
      <c r="C143">
        <v>7</v>
      </c>
      <c r="D143" t="s">
        <v>656</v>
      </c>
      <c r="E143">
        <v>42.8</v>
      </c>
      <c r="F143">
        <v>27.9</v>
      </c>
    </row>
    <row r="144" spans="1:6">
      <c r="A144">
        <v>1</v>
      </c>
      <c r="B144" t="s">
        <v>546</v>
      </c>
      <c r="C144">
        <v>4</v>
      </c>
      <c r="D144" t="s">
        <v>733</v>
      </c>
      <c r="E144">
        <v>27.1</v>
      </c>
      <c r="F144">
        <v>31.7</v>
      </c>
    </row>
    <row r="145" spans="1:6">
      <c r="A145">
        <v>1</v>
      </c>
      <c r="B145" t="s">
        <v>541</v>
      </c>
      <c r="C145">
        <v>3</v>
      </c>
      <c r="D145" t="s">
        <v>720</v>
      </c>
      <c r="E145">
        <v>9.4</v>
      </c>
      <c r="F145">
        <v>14.7</v>
      </c>
    </row>
    <row r="146" spans="1:6">
      <c r="A146">
        <v>1</v>
      </c>
      <c r="B146" t="s">
        <v>519</v>
      </c>
      <c r="C146">
        <v>1</v>
      </c>
      <c r="D146" t="s">
        <v>766</v>
      </c>
      <c r="E146">
        <v>21.8</v>
      </c>
      <c r="F146">
        <v>25.7</v>
      </c>
    </row>
    <row r="147" spans="1:6">
      <c r="A147">
        <v>1</v>
      </c>
      <c r="B147" t="s">
        <v>549</v>
      </c>
      <c r="C147">
        <v>7</v>
      </c>
      <c r="D147" t="s">
        <v>729</v>
      </c>
      <c r="E147">
        <v>30</v>
      </c>
      <c r="F147">
        <v>32.9</v>
      </c>
    </row>
    <row r="148" spans="1:6">
      <c r="A148">
        <v>3</v>
      </c>
      <c r="B148" t="s">
        <v>556</v>
      </c>
      <c r="C148">
        <v>-1</v>
      </c>
      <c r="D148" t="s">
        <v>703</v>
      </c>
      <c r="E148">
        <v>24.9</v>
      </c>
      <c r="F148">
        <v>24.2</v>
      </c>
    </row>
    <row r="149" spans="1:6">
      <c r="A149">
        <v>3</v>
      </c>
      <c r="B149" t="s">
        <v>514</v>
      </c>
      <c r="C149">
        <v>1</v>
      </c>
      <c r="D149" t="s">
        <v>751</v>
      </c>
      <c r="E149">
        <v>36.5</v>
      </c>
      <c r="F149">
        <v>15.3</v>
      </c>
    </row>
    <row r="150" spans="1:6">
      <c r="A150">
        <v>3</v>
      </c>
      <c r="B150" t="s">
        <v>548</v>
      </c>
      <c r="C150">
        <v>-1</v>
      </c>
      <c r="D150" t="s">
        <v>685</v>
      </c>
      <c r="E150">
        <v>19.8</v>
      </c>
      <c r="F150">
        <v>17.899999999999999</v>
      </c>
    </row>
    <row r="151" spans="1:6">
      <c r="A151">
        <v>3</v>
      </c>
      <c r="B151" t="s">
        <v>516</v>
      </c>
      <c r="C151">
        <v>1</v>
      </c>
      <c r="D151" t="s">
        <v>755</v>
      </c>
      <c r="E151">
        <v>11.3</v>
      </c>
      <c r="F151">
        <v>8.4</v>
      </c>
    </row>
    <row r="152" spans="1:6">
      <c r="A152">
        <v>1</v>
      </c>
      <c r="B152" t="s">
        <v>544</v>
      </c>
      <c r="C152">
        <v>5</v>
      </c>
      <c r="D152" t="s">
        <v>722</v>
      </c>
      <c r="E152">
        <v>11.5</v>
      </c>
      <c r="F152">
        <v>16.100000000000001</v>
      </c>
    </row>
    <row r="153" spans="1:6">
      <c r="A153">
        <v>1</v>
      </c>
      <c r="B153" t="s">
        <v>545</v>
      </c>
      <c r="C153">
        <v>4</v>
      </c>
      <c r="D153" t="s">
        <v>730</v>
      </c>
      <c r="E153">
        <v>17.899999999999999</v>
      </c>
      <c r="F153">
        <v>24.7</v>
      </c>
    </row>
    <row r="154" spans="1:6">
      <c r="A154">
        <v>1</v>
      </c>
      <c r="B154" t="s">
        <v>515</v>
      </c>
      <c r="C154">
        <v>8</v>
      </c>
      <c r="D154" t="s">
        <v>642</v>
      </c>
      <c r="E154">
        <v>42.8</v>
      </c>
      <c r="F154">
        <v>27.9</v>
      </c>
    </row>
    <row r="155" spans="1:6">
      <c r="A155">
        <v>3</v>
      </c>
      <c r="B155" t="s">
        <v>551</v>
      </c>
      <c r="C155">
        <v>42</v>
      </c>
      <c r="D155" t="s">
        <v>744</v>
      </c>
      <c r="E155">
        <v>104</v>
      </c>
      <c r="F155">
        <v>29.2</v>
      </c>
    </row>
    <row r="156" spans="1:6">
      <c r="A156">
        <v>1</v>
      </c>
      <c r="B156" t="s">
        <v>515</v>
      </c>
      <c r="C156">
        <v>6</v>
      </c>
      <c r="D156" t="s">
        <v>737</v>
      </c>
      <c r="E156">
        <v>42.8</v>
      </c>
      <c r="F156">
        <v>27.9</v>
      </c>
    </row>
    <row r="157" spans="1:6">
      <c r="A157">
        <v>1</v>
      </c>
      <c r="B157" t="s">
        <v>535</v>
      </c>
      <c r="C157">
        <v>41</v>
      </c>
      <c r="D157" t="s">
        <v>682</v>
      </c>
      <c r="E157">
        <v>83.7</v>
      </c>
      <c r="F157">
        <v>33.4</v>
      </c>
    </row>
    <row r="158" spans="1:6">
      <c r="A158">
        <v>3</v>
      </c>
      <c r="B158" t="s">
        <v>526</v>
      </c>
      <c r="C158">
        <v>21</v>
      </c>
      <c r="D158" t="s">
        <v>671</v>
      </c>
      <c r="E158">
        <v>31.9</v>
      </c>
      <c r="F158">
        <v>18.899999999999999</v>
      </c>
    </row>
    <row r="159" spans="1:6">
      <c r="A159">
        <v>1</v>
      </c>
      <c r="B159" t="s">
        <v>515</v>
      </c>
      <c r="C159">
        <v>-1</v>
      </c>
      <c r="D159" t="s">
        <v>770</v>
      </c>
      <c r="E159">
        <v>42.8</v>
      </c>
      <c r="F159">
        <v>27.9</v>
      </c>
    </row>
    <row r="160" spans="1:6">
      <c r="A160">
        <v>1</v>
      </c>
      <c r="B160" t="s">
        <v>513</v>
      </c>
      <c r="C160">
        <v>21</v>
      </c>
      <c r="D160" t="s">
        <v>760</v>
      </c>
      <c r="E160">
        <v>124.6</v>
      </c>
      <c r="F160">
        <v>56.6</v>
      </c>
    </row>
    <row r="161" spans="1:6">
      <c r="A161">
        <v>1</v>
      </c>
      <c r="B161" t="s">
        <v>514</v>
      </c>
      <c r="C161">
        <v>3</v>
      </c>
      <c r="D161" t="s">
        <v>719</v>
      </c>
      <c r="E161">
        <v>29.4</v>
      </c>
      <c r="F161">
        <v>25.5</v>
      </c>
    </row>
    <row r="162" spans="1:6">
      <c r="A162">
        <v>1</v>
      </c>
      <c r="B162" t="s">
        <v>515</v>
      </c>
      <c r="C162">
        <v>5</v>
      </c>
      <c r="D162" t="s">
        <v>613</v>
      </c>
      <c r="E162">
        <v>42.8</v>
      </c>
      <c r="F162">
        <v>27.9</v>
      </c>
    </row>
    <row r="163" spans="1:6">
      <c r="A163">
        <v>1</v>
      </c>
      <c r="B163" t="s">
        <v>530</v>
      </c>
      <c r="C163">
        <v>-1</v>
      </c>
      <c r="D163" t="s">
        <v>637</v>
      </c>
      <c r="E163">
        <v>12.3</v>
      </c>
      <c r="F163">
        <v>9.6999999999999993</v>
      </c>
    </row>
    <row r="164" spans="1:6">
      <c r="A164">
        <v>1</v>
      </c>
      <c r="B164" t="s">
        <v>517</v>
      </c>
      <c r="C164">
        <v>1</v>
      </c>
      <c r="D164" t="s">
        <v>752</v>
      </c>
      <c r="E164">
        <v>15.5</v>
      </c>
      <c r="F164">
        <v>14</v>
      </c>
    </row>
    <row r="165" spans="1:6">
      <c r="A165">
        <v>2</v>
      </c>
      <c r="B165" t="s">
        <v>553</v>
      </c>
      <c r="C165">
        <v>-1</v>
      </c>
      <c r="D165" t="s">
        <v>897</v>
      </c>
      <c r="E165">
        <v>14.5</v>
      </c>
      <c r="F165">
        <v>12.5</v>
      </c>
    </row>
    <row r="166" spans="1:6">
      <c r="A166">
        <v>4</v>
      </c>
      <c r="B166" t="s">
        <v>513</v>
      </c>
      <c r="C166">
        <v>22</v>
      </c>
      <c r="D166" t="s">
        <v>849</v>
      </c>
      <c r="E166">
        <v>127.5</v>
      </c>
      <c r="F166">
        <v>58</v>
      </c>
    </row>
    <row r="167" spans="1:6">
      <c r="A167">
        <v>4</v>
      </c>
      <c r="B167" t="s">
        <v>541</v>
      </c>
      <c r="C167">
        <v>-1</v>
      </c>
      <c r="D167" t="s">
        <v>918</v>
      </c>
      <c r="E167">
        <v>10.5</v>
      </c>
      <c r="F167">
        <v>6</v>
      </c>
    </row>
    <row r="168" spans="1:6">
      <c r="A168">
        <v>2</v>
      </c>
      <c r="B168" t="s">
        <v>513</v>
      </c>
      <c r="C168">
        <v>22</v>
      </c>
      <c r="D168" t="s">
        <v>817</v>
      </c>
      <c r="E168">
        <v>127.5</v>
      </c>
      <c r="F168">
        <v>58</v>
      </c>
    </row>
    <row r="169" spans="1:6">
      <c r="A169">
        <v>2</v>
      </c>
      <c r="B169" t="s">
        <v>515</v>
      </c>
      <c r="C169">
        <v>8</v>
      </c>
      <c r="D169" t="s">
        <v>809</v>
      </c>
      <c r="E169">
        <v>42.8</v>
      </c>
      <c r="F169">
        <v>27.9</v>
      </c>
    </row>
    <row r="170" spans="1:6">
      <c r="A170">
        <v>2</v>
      </c>
      <c r="B170" t="s">
        <v>545</v>
      </c>
      <c r="C170">
        <v>5</v>
      </c>
      <c r="D170" t="s">
        <v>836</v>
      </c>
      <c r="E170">
        <v>18.100000000000001</v>
      </c>
      <c r="F170">
        <v>27.6</v>
      </c>
    </row>
    <row r="171" spans="1:6">
      <c r="A171">
        <v>2</v>
      </c>
      <c r="B171" t="s">
        <v>542</v>
      </c>
      <c r="C171">
        <v>3</v>
      </c>
      <c r="D171" t="s">
        <v>881</v>
      </c>
      <c r="E171">
        <v>12.6</v>
      </c>
      <c r="F171">
        <v>26.4</v>
      </c>
    </row>
    <row r="172" spans="1:6">
      <c r="A172">
        <v>4</v>
      </c>
      <c r="B172" t="s">
        <v>531</v>
      </c>
      <c r="C172">
        <v>-1</v>
      </c>
      <c r="D172" t="s">
        <v>782</v>
      </c>
      <c r="E172">
        <v>21.9</v>
      </c>
      <c r="F172">
        <v>18.3</v>
      </c>
    </row>
    <row r="173" spans="1:6">
      <c r="A173">
        <v>2</v>
      </c>
      <c r="B173" t="s">
        <v>534</v>
      </c>
      <c r="C173">
        <v>41</v>
      </c>
      <c r="D173" t="s">
        <v>844</v>
      </c>
      <c r="E173">
        <v>72.599999999999994</v>
      </c>
      <c r="F173">
        <v>28.4</v>
      </c>
    </row>
    <row r="174" spans="1:6">
      <c r="A174">
        <v>2</v>
      </c>
      <c r="B174" t="s">
        <v>524</v>
      </c>
      <c r="C174">
        <v>21</v>
      </c>
      <c r="D174" t="s">
        <v>864</v>
      </c>
      <c r="E174">
        <v>12.8</v>
      </c>
      <c r="F174">
        <v>13.7</v>
      </c>
    </row>
    <row r="175" spans="1:6">
      <c r="A175">
        <v>4</v>
      </c>
      <c r="B175" t="s">
        <v>528</v>
      </c>
      <c r="C175">
        <v>22</v>
      </c>
      <c r="D175" t="s">
        <v>787</v>
      </c>
      <c r="E175">
        <v>46.5</v>
      </c>
      <c r="F175">
        <v>34.299999999999997</v>
      </c>
    </row>
    <row r="176" spans="1:6">
      <c r="A176">
        <v>2</v>
      </c>
      <c r="B176" t="s">
        <v>520</v>
      </c>
      <c r="C176">
        <v>1</v>
      </c>
      <c r="D176" t="s">
        <v>880</v>
      </c>
      <c r="E176">
        <v>28.1</v>
      </c>
      <c r="F176">
        <v>27.2</v>
      </c>
    </row>
    <row r="177" spans="1:6">
      <c r="A177">
        <v>2</v>
      </c>
      <c r="B177" t="s">
        <v>537</v>
      </c>
      <c r="C177">
        <v>-1</v>
      </c>
      <c r="D177" t="s">
        <v>856</v>
      </c>
      <c r="E177">
        <v>15.6</v>
      </c>
      <c r="F177">
        <v>17.399999999999999</v>
      </c>
    </row>
    <row r="178" spans="1:6">
      <c r="A178">
        <v>4</v>
      </c>
      <c r="B178" t="s">
        <v>539</v>
      </c>
      <c r="C178">
        <v>-1</v>
      </c>
      <c r="D178" t="s">
        <v>792</v>
      </c>
      <c r="E178">
        <v>19.399999999999999</v>
      </c>
      <c r="F178">
        <v>16.100000000000001</v>
      </c>
    </row>
    <row r="179" spans="1:6">
      <c r="A179">
        <v>2</v>
      </c>
      <c r="B179" t="s">
        <v>512</v>
      </c>
      <c r="C179">
        <v>41</v>
      </c>
      <c r="D179" t="s">
        <v>859</v>
      </c>
      <c r="E179">
        <v>129.1</v>
      </c>
      <c r="F179">
        <v>29.5</v>
      </c>
    </row>
    <row r="180" spans="1:6">
      <c r="A180">
        <v>4</v>
      </c>
      <c r="B180" t="s">
        <v>551</v>
      </c>
      <c r="C180">
        <v>22</v>
      </c>
      <c r="D180" t="s">
        <v>928</v>
      </c>
      <c r="E180">
        <v>71.400000000000006</v>
      </c>
      <c r="F180">
        <v>54.3</v>
      </c>
    </row>
    <row r="181" spans="1:6">
      <c r="A181">
        <v>2</v>
      </c>
      <c r="B181" t="s">
        <v>550</v>
      </c>
      <c r="C181">
        <v>42</v>
      </c>
      <c r="D181" t="s">
        <v>842</v>
      </c>
      <c r="E181">
        <v>61.3</v>
      </c>
      <c r="F181">
        <v>10.8</v>
      </c>
    </row>
    <row r="182" spans="1:6">
      <c r="A182">
        <v>2</v>
      </c>
      <c r="B182" t="s">
        <v>547</v>
      </c>
      <c r="C182">
        <v>8</v>
      </c>
      <c r="D182" t="s">
        <v>779</v>
      </c>
      <c r="E182">
        <v>11.9</v>
      </c>
      <c r="F182">
        <v>12.2</v>
      </c>
    </row>
    <row r="183" spans="1:6">
      <c r="A183">
        <v>4</v>
      </c>
      <c r="B183" t="s">
        <v>515</v>
      </c>
      <c r="C183">
        <v>1</v>
      </c>
      <c r="D183" t="s">
        <v>830</v>
      </c>
      <c r="E183">
        <v>64.8</v>
      </c>
      <c r="F183">
        <v>28.3</v>
      </c>
    </row>
    <row r="184" spans="1:6">
      <c r="A184">
        <v>2</v>
      </c>
      <c r="B184" t="s">
        <v>533</v>
      </c>
      <c r="C184">
        <v>41</v>
      </c>
      <c r="D184" t="s">
        <v>927</v>
      </c>
      <c r="E184">
        <v>46.2</v>
      </c>
      <c r="F184">
        <v>14.3</v>
      </c>
    </row>
    <row r="185" spans="1:6">
      <c r="A185">
        <v>2</v>
      </c>
      <c r="B185" t="s">
        <v>515</v>
      </c>
      <c r="C185">
        <v>1</v>
      </c>
      <c r="D185" t="s">
        <v>778</v>
      </c>
      <c r="E185">
        <v>67.5</v>
      </c>
      <c r="F185">
        <v>33.5</v>
      </c>
    </row>
    <row r="186" spans="1:6">
      <c r="A186">
        <v>2</v>
      </c>
      <c r="B186" t="s">
        <v>527</v>
      </c>
      <c r="C186">
        <v>22</v>
      </c>
      <c r="D186" t="s">
        <v>934</v>
      </c>
      <c r="E186">
        <v>48</v>
      </c>
      <c r="F186">
        <v>48.7</v>
      </c>
    </row>
    <row r="187" spans="1:6">
      <c r="A187">
        <v>2</v>
      </c>
      <c r="B187" t="s">
        <v>527</v>
      </c>
      <c r="C187">
        <v>21</v>
      </c>
      <c r="D187" t="s">
        <v>854</v>
      </c>
      <c r="E187">
        <v>38.4</v>
      </c>
      <c r="F187">
        <v>49.4</v>
      </c>
    </row>
    <row r="188" spans="1:6">
      <c r="A188">
        <v>2</v>
      </c>
      <c r="B188" t="s">
        <v>529</v>
      </c>
      <c r="C188">
        <v>22</v>
      </c>
      <c r="D188" t="s">
        <v>797</v>
      </c>
      <c r="E188">
        <v>94</v>
      </c>
      <c r="F188">
        <v>56.2</v>
      </c>
    </row>
    <row r="189" spans="1:6">
      <c r="A189">
        <v>2</v>
      </c>
      <c r="B189" t="s">
        <v>512</v>
      </c>
      <c r="C189">
        <v>42</v>
      </c>
      <c r="D189" t="s">
        <v>786</v>
      </c>
      <c r="E189">
        <v>147.80000000000001</v>
      </c>
      <c r="F189">
        <v>23.4</v>
      </c>
    </row>
    <row r="190" spans="1:6">
      <c r="A190">
        <v>2</v>
      </c>
      <c r="B190" t="s">
        <v>545</v>
      </c>
      <c r="C190">
        <v>4</v>
      </c>
      <c r="D190" t="s">
        <v>833</v>
      </c>
      <c r="E190">
        <v>17.899999999999999</v>
      </c>
      <c r="F190">
        <v>24.7</v>
      </c>
    </row>
    <row r="191" spans="1:6">
      <c r="A191">
        <v>4</v>
      </c>
      <c r="B191" t="s">
        <v>535</v>
      </c>
      <c r="C191">
        <v>41</v>
      </c>
      <c r="D191" t="s">
        <v>905</v>
      </c>
      <c r="E191">
        <v>83.7</v>
      </c>
      <c r="F191">
        <v>33.4</v>
      </c>
    </row>
    <row r="192" spans="1:6">
      <c r="A192">
        <v>4</v>
      </c>
      <c r="B192" t="s">
        <v>529</v>
      </c>
      <c r="C192">
        <v>22</v>
      </c>
      <c r="D192" t="s">
        <v>825</v>
      </c>
      <c r="E192">
        <v>94</v>
      </c>
      <c r="F192">
        <v>56.2</v>
      </c>
    </row>
    <row r="193" spans="1:6">
      <c r="A193">
        <v>4</v>
      </c>
      <c r="B193" t="s">
        <v>547</v>
      </c>
      <c r="C193">
        <v>-1</v>
      </c>
      <c r="D193" t="s">
        <v>829</v>
      </c>
      <c r="E193">
        <v>15</v>
      </c>
      <c r="F193">
        <v>7.2</v>
      </c>
    </row>
    <row r="194" spans="1:6">
      <c r="A194">
        <v>2</v>
      </c>
      <c r="B194" t="s">
        <v>514</v>
      </c>
      <c r="C194">
        <v>6</v>
      </c>
      <c r="D194" t="s">
        <v>911</v>
      </c>
      <c r="E194">
        <v>29.4</v>
      </c>
      <c r="F194">
        <v>25.5</v>
      </c>
    </row>
    <row r="195" spans="1:6">
      <c r="A195">
        <v>2</v>
      </c>
      <c r="B195" t="s">
        <v>515</v>
      </c>
      <c r="C195">
        <v>6</v>
      </c>
      <c r="D195" t="s">
        <v>920</v>
      </c>
      <c r="E195">
        <v>42.8</v>
      </c>
      <c r="F195">
        <v>27.9</v>
      </c>
    </row>
    <row r="196" spans="1:6">
      <c r="A196">
        <v>2</v>
      </c>
      <c r="B196" t="s">
        <v>515</v>
      </c>
      <c r="C196">
        <v>5</v>
      </c>
      <c r="D196" t="s">
        <v>837</v>
      </c>
      <c r="E196">
        <v>42.8</v>
      </c>
      <c r="F196">
        <v>27.9</v>
      </c>
    </row>
    <row r="197" spans="1:6">
      <c r="A197">
        <v>4</v>
      </c>
      <c r="B197" t="s">
        <v>553</v>
      </c>
      <c r="C197">
        <v>-1</v>
      </c>
      <c r="D197" t="s">
        <v>930</v>
      </c>
      <c r="E197">
        <v>17.100000000000001</v>
      </c>
      <c r="F197">
        <v>11.6</v>
      </c>
    </row>
    <row r="198" spans="1:6">
      <c r="A198">
        <v>2</v>
      </c>
      <c r="B198" t="s">
        <v>544</v>
      </c>
      <c r="C198">
        <v>4</v>
      </c>
      <c r="D198" t="s">
        <v>812</v>
      </c>
      <c r="E198">
        <v>14</v>
      </c>
      <c r="F198">
        <v>15.6</v>
      </c>
    </row>
    <row r="199" spans="1:6">
      <c r="A199">
        <v>2</v>
      </c>
      <c r="B199" t="s">
        <v>514</v>
      </c>
      <c r="C199">
        <v>7</v>
      </c>
      <c r="D199" t="s">
        <v>869</v>
      </c>
      <c r="E199">
        <v>29.4</v>
      </c>
      <c r="F199">
        <v>25.5</v>
      </c>
    </row>
    <row r="200" spans="1:6">
      <c r="A200">
        <v>2</v>
      </c>
      <c r="B200" t="s">
        <v>535</v>
      </c>
      <c r="C200">
        <v>42</v>
      </c>
      <c r="D200" t="s">
        <v>807</v>
      </c>
      <c r="E200">
        <v>99.4</v>
      </c>
      <c r="F200">
        <v>38</v>
      </c>
    </row>
    <row r="201" spans="1:6">
      <c r="A201">
        <v>2</v>
      </c>
      <c r="B201" t="s">
        <v>514</v>
      </c>
      <c r="C201">
        <v>4</v>
      </c>
      <c r="D201" t="s">
        <v>922</v>
      </c>
      <c r="E201">
        <v>29.4</v>
      </c>
      <c r="F201">
        <v>25.5</v>
      </c>
    </row>
    <row r="202" spans="1:6">
      <c r="A202">
        <v>4</v>
      </c>
      <c r="B202" t="s">
        <v>533</v>
      </c>
      <c r="C202">
        <v>41</v>
      </c>
      <c r="D202" t="s">
        <v>811</v>
      </c>
      <c r="E202">
        <v>46.2</v>
      </c>
      <c r="F202">
        <v>14.3</v>
      </c>
    </row>
    <row r="203" spans="1:6">
      <c r="A203">
        <v>2</v>
      </c>
      <c r="B203" t="s">
        <v>558</v>
      </c>
      <c r="C203">
        <v>-1</v>
      </c>
      <c r="D203" t="s">
        <v>832</v>
      </c>
      <c r="E203">
        <v>20.7</v>
      </c>
      <c r="F203">
        <v>23</v>
      </c>
    </row>
    <row r="204" spans="1:6">
      <c r="A204">
        <v>2</v>
      </c>
      <c r="B204" t="s">
        <v>533</v>
      </c>
      <c r="C204">
        <v>42</v>
      </c>
      <c r="D204" t="s">
        <v>794</v>
      </c>
      <c r="E204">
        <v>37.1</v>
      </c>
      <c r="F204">
        <v>12.4</v>
      </c>
    </row>
    <row r="205" spans="1:6">
      <c r="A205">
        <v>2</v>
      </c>
      <c r="B205" t="s">
        <v>526</v>
      </c>
      <c r="C205">
        <v>22</v>
      </c>
      <c r="D205" t="s">
        <v>878</v>
      </c>
      <c r="E205">
        <v>27.7</v>
      </c>
      <c r="F205">
        <v>20.100000000000001</v>
      </c>
    </row>
    <row r="206" spans="1:6">
      <c r="A206">
        <v>4</v>
      </c>
      <c r="B206" t="s">
        <v>536</v>
      </c>
      <c r="C206">
        <v>-1</v>
      </c>
      <c r="D206" t="s">
        <v>822</v>
      </c>
      <c r="E206">
        <v>31.2</v>
      </c>
      <c r="F206">
        <v>16.7</v>
      </c>
    </row>
    <row r="207" spans="1:6">
      <c r="A207">
        <v>4</v>
      </c>
      <c r="B207" t="s">
        <v>538</v>
      </c>
      <c r="C207">
        <v>-1</v>
      </c>
      <c r="D207" t="s">
        <v>914</v>
      </c>
      <c r="E207">
        <v>15.9</v>
      </c>
      <c r="F207">
        <v>16.3</v>
      </c>
    </row>
    <row r="208" spans="1:6">
      <c r="A208">
        <v>4</v>
      </c>
      <c r="B208" t="s">
        <v>526</v>
      </c>
      <c r="C208">
        <v>21</v>
      </c>
      <c r="D208" t="s">
        <v>823</v>
      </c>
      <c r="E208">
        <v>31.9</v>
      </c>
      <c r="F208">
        <v>18.899999999999999</v>
      </c>
    </row>
    <row r="209" spans="1:6">
      <c r="A209">
        <v>2</v>
      </c>
      <c r="B209" t="s">
        <v>517</v>
      </c>
      <c r="C209">
        <v>1</v>
      </c>
      <c r="D209" t="s">
        <v>933</v>
      </c>
      <c r="E209">
        <v>15.5</v>
      </c>
      <c r="F209">
        <v>14</v>
      </c>
    </row>
    <row r="210" spans="1:6">
      <c r="A210">
        <v>4</v>
      </c>
      <c r="B210" t="s">
        <v>534</v>
      </c>
      <c r="C210">
        <v>41</v>
      </c>
      <c r="D210" t="s">
        <v>886</v>
      </c>
      <c r="E210">
        <v>72.599999999999994</v>
      </c>
      <c r="F210">
        <v>28.4</v>
      </c>
    </row>
    <row r="211" spans="1:6">
      <c r="A211">
        <v>2</v>
      </c>
      <c r="B211" t="s">
        <v>526</v>
      </c>
      <c r="C211">
        <v>21</v>
      </c>
      <c r="D211" t="s">
        <v>798</v>
      </c>
      <c r="E211">
        <v>31.9</v>
      </c>
      <c r="F211">
        <v>18.899999999999999</v>
      </c>
    </row>
    <row r="212" spans="1:6">
      <c r="A212">
        <v>4</v>
      </c>
      <c r="B212" t="s">
        <v>542</v>
      </c>
      <c r="C212">
        <v>-1</v>
      </c>
      <c r="D212" t="s">
        <v>910</v>
      </c>
      <c r="E212">
        <v>14</v>
      </c>
      <c r="F212">
        <v>17.5</v>
      </c>
    </row>
    <row r="213" spans="1:6">
      <c r="A213">
        <v>2</v>
      </c>
      <c r="B213" t="s">
        <v>512</v>
      </c>
      <c r="C213">
        <v>22</v>
      </c>
      <c r="D213" t="s">
        <v>899</v>
      </c>
      <c r="E213">
        <v>103</v>
      </c>
      <c r="F213">
        <v>70.400000000000006</v>
      </c>
    </row>
    <row r="214" spans="1:6">
      <c r="A214">
        <v>4</v>
      </c>
      <c r="B214" t="s">
        <v>551</v>
      </c>
      <c r="C214">
        <v>42</v>
      </c>
      <c r="D214" t="s">
        <v>858</v>
      </c>
      <c r="E214">
        <v>104</v>
      </c>
      <c r="F214">
        <v>29.2</v>
      </c>
    </row>
    <row r="215" spans="1:6">
      <c r="A215">
        <v>4</v>
      </c>
      <c r="B215" t="s">
        <v>550</v>
      </c>
      <c r="C215">
        <v>-1</v>
      </c>
      <c r="D215" t="s">
        <v>887</v>
      </c>
      <c r="E215">
        <v>21</v>
      </c>
      <c r="F215">
        <v>26.5</v>
      </c>
    </row>
    <row r="216" spans="1:6">
      <c r="A216">
        <v>2</v>
      </c>
      <c r="B216" t="s">
        <v>528</v>
      </c>
      <c r="C216">
        <v>21</v>
      </c>
      <c r="D216" t="s">
        <v>931</v>
      </c>
      <c r="E216">
        <v>44.1</v>
      </c>
      <c r="F216">
        <v>29</v>
      </c>
    </row>
    <row r="217" spans="1:6">
      <c r="A217">
        <v>2</v>
      </c>
      <c r="B217" t="s">
        <v>515</v>
      </c>
      <c r="C217">
        <v>3</v>
      </c>
      <c r="D217" t="s">
        <v>828</v>
      </c>
      <c r="E217">
        <v>42.8</v>
      </c>
      <c r="F217">
        <v>27.9</v>
      </c>
    </row>
    <row r="218" spans="1:6">
      <c r="A218">
        <v>4</v>
      </c>
      <c r="B218" t="s">
        <v>513</v>
      </c>
      <c r="C218">
        <v>41</v>
      </c>
      <c r="D218" t="s">
        <v>799</v>
      </c>
      <c r="E218">
        <v>131.30000000000001</v>
      </c>
      <c r="F218">
        <v>13.5</v>
      </c>
    </row>
    <row r="219" spans="1:6">
      <c r="A219">
        <v>4</v>
      </c>
      <c r="B219" t="s">
        <v>546</v>
      </c>
      <c r="C219">
        <v>-1</v>
      </c>
      <c r="D219" t="s">
        <v>853</v>
      </c>
      <c r="E219">
        <v>23.7</v>
      </c>
      <c r="F219">
        <v>28.3</v>
      </c>
    </row>
    <row r="220" spans="1:6">
      <c r="A220">
        <v>4</v>
      </c>
      <c r="B220" t="s">
        <v>524</v>
      </c>
      <c r="C220">
        <v>22</v>
      </c>
      <c r="D220" t="s">
        <v>835</v>
      </c>
      <c r="E220">
        <v>17.600000000000001</v>
      </c>
      <c r="F220">
        <v>10.8</v>
      </c>
    </row>
    <row r="221" spans="1:6">
      <c r="A221">
        <v>2</v>
      </c>
      <c r="B221" t="s">
        <v>535</v>
      </c>
      <c r="C221">
        <v>41</v>
      </c>
      <c r="D221" t="s">
        <v>919</v>
      </c>
      <c r="E221">
        <v>83.7</v>
      </c>
      <c r="F221">
        <v>33.4</v>
      </c>
    </row>
    <row r="222" spans="1:6">
      <c r="A222">
        <v>4</v>
      </c>
      <c r="B222" t="s">
        <v>523</v>
      </c>
      <c r="C222">
        <v>1</v>
      </c>
      <c r="D222" t="s">
        <v>788</v>
      </c>
      <c r="E222">
        <v>45</v>
      </c>
      <c r="F222">
        <v>37.799999999999997</v>
      </c>
    </row>
    <row r="223" spans="1:6">
      <c r="A223">
        <v>4</v>
      </c>
      <c r="B223" t="s">
        <v>525</v>
      </c>
      <c r="C223">
        <v>22</v>
      </c>
      <c r="D223" t="s">
        <v>845</v>
      </c>
      <c r="E223">
        <v>29.7</v>
      </c>
      <c r="F223">
        <v>38.700000000000003</v>
      </c>
    </row>
    <row r="224" spans="1:6">
      <c r="A224">
        <v>2</v>
      </c>
      <c r="B224" t="s">
        <v>513</v>
      </c>
      <c r="C224">
        <v>9</v>
      </c>
      <c r="D224" t="s">
        <v>815</v>
      </c>
      <c r="E224">
        <v>47.2</v>
      </c>
      <c r="F224">
        <v>61.9</v>
      </c>
    </row>
    <row r="225" spans="1:6">
      <c r="A225">
        <v>2</v>
      </c>
      <c r="B225" t="s">
        <v>536</v>
      </c>
      <c r="C225">
        <v>-1</v>
      </c>
      <c r="D225" t="s">
        <v>915</v>
      </c>
      <c r="E225">
        <v>31.3</v>
      </c>
      <c r="F225">
        <v>17.7</v>
      </c>
    </row>
    <row r="226" spans="1:6">
      <c r="A226">
        <v>4</v>
      </c>
      <c r="B226" t="s">
        <v>517</v>
      </c>
      <c r="C226">
        <v>1</v>
      </c>
      <c r="D226" t="s">
        <v>847</v>
      </c>
      <c r="E226">
        <v>14.2</v>
      </c>
      <c r="F226">
        <v>11.2</v>
      </c>
    </row>
    <row r="227" spans="1:6">
      <c r="A227">
        <v>2</v>
      </c>
      <c r="B227" t="s">
        <v>539</v>
      </c>
      <c r="C227">
        <v>-1</v>
      </c>
      <c r="D227" t="s">
        <v>824</v>
      </c>
      <c r="E227">
        <v>20</v>
      </c>
      <c r="F227">
        <v>19.2</v>
      </c>
    </row>
    <row r="228" spans="1:6">
      <c r="A228">
        <v>2</v>
      </c>
      <c r="B228" t="s">
        <v>532</v>
      </c>
      <c r="C228">
        <v>-1</v>
      </c>
      <c r="D228" t="s">
        <v>872</v>
      </c>
      <c r="E228">
        <v>29.2</v>
      </c>
      <c r="F228">
        <v>26.5</v>
      </c>
    </row>
    <row r="229" spans="1:6">
      <c r="A229">
        <v>4</v>
      </c>
      <c r="B229" t="s">
        <v>528</v>
      </c>
      <c r="C229">
        <v>21</v>
      </c>
      <c r="D229" t="s">
        <v>776</v>
      </c>
      <c r="E229">
        <v>44.1</v>
      </c>
      <c r="F229">
        <v>29</v>
      </c>
    </row>
    <row r="230" spans="1:6">
      <c r="A230">
        <v>4</v>
      </c>
      <c r="B230" t="s">
        <v>512</v>
      </c>
      <c r="C230">
        <v>-1</v>
      </c>
      <c r="D230" t="s">
        <v>923</v>
      </c>
      <c r="E230">
        <v>90</v>
      </c>
      <c r="F230">
        <v>28.9</v>
      </c>
    </row>
    <row r="231" spans="1:6">
      <c r="A231">
        <v>4</v>
      </c>
      <c r="B231" t="s">
        <v>518</v>
      </c>
      <c r="C231">
        <v>1</v>
      </c>
      <c r="D231" t="s">
        <v>913</v>
      </c>
      <c r="E231">
        <v>27.6</v>
      </c>
      <c r="F231">
        <v>15.1</v>
      </c>
    </row>
    <row r="232" spans="1:6">
      <c r="A232">
        <v>2</v>
      </c>
      <c r="B232" t="s">
        <v>523</v>
      </c>
      <c r="C232">
        <v>1</v>
      </c>
      <c r="D232" t="s">
        <v>893</v>
      </c>
      <c r="E232">
        <v>53.4</v>
      </c>
      <c r="F232">
        <v>42</v>
      </c>
    </row>
    <row r="233" spans="1:6">
      <c r="A233">
        <v>2</v>
      </c>
      <c r="B233" t="s">
        <v>538</v>
      </c>
      <c r="C233">
        <v>-1</v>
      </c>
      <c r="D233" t="s">
        <v>937</v>
      </c>
      <c r="E233">
        <v>17</v>
      </c>
      <c r="F233">
        <v>20</v>
      </c>
    </row>
    <row r="234" spans="1:6">
      <c r="A234">
        <v>4</v>
      </c>
      <c r="B234" t="s">
        <v>525</v>
      </c>
      <c r="C234">
        <v>21</v>
      </c>
      <c r="D234" t="s">
        <v>814</v>
      </c>
      <c r="E234">
        <v>26.1</v>
      </c>
      <c r="F234">
        <v>33.9</v>
      </c>
    </row>
    <row r="235" spans="1:6">
      <c r="A235">
        <v>2</v>
      </c>
      <c r="B235" t="s">
        <v>514</v>
      </c>
      <c r="C235">
        <v>-1</v>
      </c>
      <c r="D235" t="s">
        <v>884</v>
      </c>
      <c r="E235">
        <v>29.4</v>
      </c>
      <c r="F235">
        <v>25.5</v>
      </c>
    </row>
    <row r="236" spans="1:6">
      <c r="A236">
        <v>2</v>
      </c>
      <c r="B236" t="s">
        <v>559</v>
      </c>
      <c r="C236">
        <v>-1</v>
      </c>
      <c r="D236" t="s">
        <v>876</v>
      </c>
      <c r="E236">
        <v>28.5</v>
      </c>
      <c r="F236">
        <v>27.9</v>
      </c>
    </row>
    <row r="237" spans="1:6">
      <c r="A237">
        <v>2</v>
      </c>
      <c r="B237" t="s">
        <v>515</v>
      </c>
      <c r="C237">
        <v>-1</v>
      </c>
      <c r="D237" t="s">
        <v>802</v>
      </c>
      <c r="E237">
        <v>42.8</v>
      </c>
      <c r="F237">
        <v>27.9</v>
      </c>
    </row>
    <row r="238" spans="1:6">
      <c r="A238">
        <v>4</v>
      </c>
      <c r="B238" t="s">
        <v>522</v>
      </c>
      <c r="C238">
        <v>1</v>
      </c>
      <c r="D238" t="s">
        <v>900</v>
      </c>
      <c r="E238">
        <v>40.700000000000003</v>
      </c>
      <c r="F238">
        <v>33.4</v>
      </c>
    </row>
    <row r="239" spans="1:6">
      <c r="A239">
        <v>2</v>
      </c>
      <c r="B239" t="s">
        <v>550</v>
      </c>
      <c r="C239">
        <v>9</v>
      </c>
      <c r="D239" t="s">
        <v>873</v>
      </c>
      <c r="E239">
        <v>22.4</v>
      </c>
      <c r="F239">
        <v>20.3</v>
      </c>
    </row>
    <row r="240" spans="1:6">
      <c r="A240">
        <v>2</v>
      </c>
      <c r="B240" t="s">
        <v>530</v>
      </c>
      <c r="C240">
        <v>-1</v>
      </c>
      <c r="D240" t="s">
        <v>821</v>
      </c>
      <c r="E240">
        <v>12.3</v>
      </c>
      <c r="F240">
        <v>9.6999999999999993</v>
      </c>
    </row>
    <row r="241" spans="1:6">
      <c r="A241">
        <v>4</v>
      </c>
      <c r="B241" t="s">
        <v>519</v>
      </c>
      <c r="C241">
        <v>1</v>
      </c>
      <c r="D241" t="s">
        <v>820</v>
      </c>
      <c r="E241">
        <v>19.600000000000001</v>
      </c>
      <c r="F241">
        <v>22.6</v>
      </c>
    </row>
    <row r="242" spans="1:6">
      <c r="A242">
        <v>4</v>
      </c>
      <c r="B242" t="s">
        <v>552</v>
      </c>
      <c r="C242">
        <v>-1</v>
      </c>
      <c r="D242" t="s">
        <v>791</v>
      </c>
      <c r="E242">
        <v>9.4</v>
      </c>
      <c r="F242">
        <v>6.4</v>
      </c>
    </row>
    <row r="243" spans="1:6">
      <c r="A243">
        <v>4</v>
      </c>
      <c r="B243" t="s">
        <v>514</v>
      </c>
      <c r="C243">
        <v>-1</v>
      </c>
      <c r="D243" t="s">
        <v>901</v>
      </c>
      <c r="E243">
        <v>30.5</v>
      </c>
      <c r="F243">
        <v>22.3</v>
      </c>
    </row>
    <row r="244" spans="1:6">
      <c r="A244">
        <v>2</v>
      </c>
      <c r="B244" t="s">
        <v>513</v>
      </c>
      <c r="C244">
        <v>41</v>
      </c>
      <c r="D244" t="s">
        <v>855</v>
      </c>
      <c r="E244">
        <v>131.30000000000001</v>
      </c>
      <c r="F244">
        <v>13.5</v>
      </c>
    </row>
    <row r="245" spans="1:6">
      <c r="A245">
        <v>4</v>
      </c>
      <c r="B245" t="s">
        <v>524</v>
      </c>
      <c r="C245">
        <v>21</v>
      </c>
      <c r="D245" t="s">
        <v>902</v>
      </c>
      <c r="E245">
        <v>12.8</v>
      </c>
      <c r="F245">
        <v>13.7</v>
      </c>
    </row>
    <row r="246" spans="1:6">
      <c r="A246">
        <v>2</v>
      </c>
      <c r="B246" t="s">
        <v>512</v>
      </c>
      <c r="C246">
        <v>-1</v>
      </c>
      <c r="D246" t="s">
        <v>827</v>
      </c>
      <c r="E246">
        <v>90.7</v>
      </c>
      <c r="F246">
        <v>35</v>
      </c>
    </row>
    <row r="247" spans="1:6">
      <c r="A247">
        <v>4</v>
      </c>
      <c r="B247" t="s">
        <v>516</v>
      </c>
      <c r="C247">
        <v>1</v>
      </c>
      <c r="D247" t="s">
        <v>925</v>
      </c>
      <c r="E247">
        <v>11.3</v>
      </c>
      <c r="F247">
        <v>8.4</v>
      </c>
    </row>
    <row r="248" spans="1:6">
      <c r="A248">
        <v>2</v>
      </c>
      <c r="B248" t="s">
        <v>551</v>
      </c>
      <c r="C248">
        <v>22</v>
      </c>
      <c r="D248" t="s">
        <v>909</v>
      </c>
      <c r="E248">
        <v>71.400000000000006</v>
      </c>
      <c r="F248">
        <v>54.3</v>
      </c>
    </row>
    <row r="249" spans="1:6">
      <c r="A249">
        <v>2</v>
      </c>
      <c r="B249" t="s">
        <v>515</v>
      </c>
      <c r="C249">
        <v>7</v>
      </c>
      <c r="D249" t="s">
        <v>932</v>
      </c>
      <c r="E249">
        <v>42.8</v>
      </c>
      <c r="F249">
        <v>27.9</v>
      </c>
    </row>
    <row r="250" spans="1:6">
      <c r="A250">
        <v>2</v>
      </c>
      <c r="B250" t="s">
        <v>524</v>
      </c>
      <c r="C250">
        <v>22</v>
      </c>
      <c r="D250" t="s">
        <v>840</v>
      </c>
      <c r="E250">
        <v>17.600000000000001</v>
      </c>
      <c r="F250">
        <v>10.8</v>
      </c>
    </row>
    <row r="251" spans="1:6">
      <c r="A251">
        <v>4</v>
      </c>
      <c r="B251" t="s">
        <v>544</v>
      </c>
      <c r="C251">
        <v>-1</v>
      </c>
      <c r="D251" t="s">
        <v>898</v>
      </c>
      <c r="E251">
        <v>19.2</v>
      </c>
      <c r="F251">
        <v>13.1</v>
      </c>
    </row>
    <row r="252" spans="1:6">
      <c r="A252">
        <v>2</v>
      </c>
      <c r="B252" t="s">
        <v>547</v>
      </c>
      <c r="C252">
        <v>7</v>
      </c>
      <c r="D252" t="s">
        <v>790</v>
      </c>
      <c r="E252">
        <v>10.6</v>
      </c>
      <c r="F252">
        <v>12.8</v>
      </c>
    </row>
    <row r="253" spans="1:6">
      <c r="A253">
        <v>4</v>
      </c>
      <c r="B253" t="s">
        <v>556</v>
      </c>
      <c r="C253">
        <v>-1</v>
      </c>
      <c r="D253" t="s">
        <v>861</v>
      </c>
      <c r="E253">
        <v>24.9</v>
      </c>
      <c r="F253">
        <v>24.2</v>
      </c>
    </row>
    <row r="254" spans="1:6">
      <c r="A254">
        <v>4</v>
      </c>
      <c r="B254" t="s">
        <v>529</v>
      </c>
      <c r="C254">
        <v>21</v>
      </c>
      <c r="D254" t="s">
        <v>843</v>
      </c>
      <c r="E254">
        <v>70.099999999999994</v>
      </c>
      <c r="F254">
        <v>46.6</v>
      </c>
    </row>
    <row r="255" spans="1:6">
      <c r="A255">
        <v>4</v>
      </c>
      <c r="B255" t="s">
        <v>515</v>
      </c>
      <c r="C255">
        <v>-1</v>
      </c>
      <c r="D255" t="s">
        <v>867</v>
      </c>
      <c r="E255">
        <v>48</v>
      </c>
      <c r="F255">
        <v>25.8</v>
      </c>
    </row>
    <row r="256" spans="1:6">
      <c r="A256">
        <v>4</v>
      </c>
      <c r="B256" t="s">
        <v>559</v>
      </c>
      <c r="C256">
        <v>-1</v>
      </c>
      <c r="D256" t="s">
        <v>819</v>
      </c>
      <c r="E256">
        <v>34.5</v>
      </c>
      <c r="F256">
        <v>23.9</v>
      </c>
    </row>
    <row r="257" spans="1:6">
      <c r="A257">
        <v>2</v>
      </c>
      <c r="B257" t="s">
        <v>550</v>
      </c>
      <c r="C257">
        <v>22</v>
      </c>
      <c r="D257" t="s">
        <v>831</v>
      </c>
      <c r="E257">
        <v>28</v>
      </c>
      <c r="F257">
        <v>24</v>
      </c>
    </row>
    <row r="258" spans="1:6">
      <c r="A258">
        <v>4</v>
      </c>
      <c r="B258" t="s">
        <v>530</v>
      </c>
      <c r="C258">
        <v>-1</v>
      </c>
      <c r="D258" t="s">
        <v>850</v>
      </c>
      <c r="E258">
        <v>19.899999999999999</v>
      </c>
      <c r="F258">
        <v>3.3</v>
      </c>
    </row>
    <row r="259" spans="1:6">
      <c r="A259">
        <v>2</v>
      </c>
      <c r="B259" t="s">
        <v>548</v>
      </c>
      <c r="C259">
        <v>7</v>
      </c>
      <c r="D259" t="s">
        <v>865</v>
      </c>
      <c r="E259">
        <v>15.2</v>
      </c>
      <c r="F259">
        <v>23.4</v>
      </c>
    </row>
    <row r="260" spans="1:6">
      <c r="A260">
        <v>4</v>
      </c>
      <c r="B260" t="s">
        <v>549</v>
      </c>
      <c r="C260">
        <v>-1</v>
      </c>
      <c r="D260" t="s">
        <v>783</v>
      </c>
      <c r="E260">
        <v>21.6</v>
      </c>
      <c r="F260">
        <v>23.5</v>
      </c>
    </row>
    <row r="261" spans="1:6">
      <c r="A261">
        <v>4</v>
      </c>
      <c r="B261" t="s">
        <v>557</v>
      </c>
      <c r="C261">
        <v>-1</v>
      </c>
      <c r="D261" t="s">
        <v>838</v>
      </c>
      <c r="E261">
        <v>15.7</v>
      </c>
      <c r="F261">
        <v>13.1</v>
      </c>
    </row>
    <row r="262" spans="1:6">
      <c r="A262">
        <v>2</v>
      </c>
      <c r="B262" t="s">
        <v>522</v>
      </c>
      <c r="C262">
        <v>1</v>
      </c>
      <c r="D262" t="s">
        <v>780</v>
      </c>
      <c r="E262">
        <v>40.700000000000003</v>
      </c>
      <c r="F262">
        <v>34.9</v>
      </c>
    </row>
    <row r="263" spans="1:6">
      <c r="A263">
        <v>2</v>
      </c>
      <c r="B263" t="s">
        <v>516</v>
      </c>
      <c r="C263">
        <v>1</v>
      </c>
      <c r="D263" t="s">
        <v>839</v>
      </c>
      <c r="E263">
        <v>12.4</v>
      </c>
      <c r="F263">
        <v>10.8</v>
      </c>
    </row>
    <row r="264" spans="1:6">
      <c r="A264">
        <v>2</v>
      </c>
      <c r="B264" t="s">
        <v>512</v>
      </c>
      <c r="C264">
        <v>21</v>
      </c>
      <c r="D264" t="s">
        <v>862</v>
      </c>
      <c r="E264">
        <v>130</v>
      </c>
      <c r="F264">
        <v>24.1</v>
      </c>
    </row>
    <row r="265" spans="1:6">
      <c r="A265">
        <v>4</v>
      </c>
      <c r="B265" t="s">
        <v>554</v>
      </c>
      <c r="C265">
        <v>-1</v>
      </c>
      <c r="D265" t="s">
        <v>907</v>
      </c>
      <c r="E265">
        <v>18.2</v>
      </c>
      <c r="F265">
        <v>17.3</v>
      </c>
    </row>
    <row r="266" spans="1:6">
      <c r="A266">
        <v>2</v>
      </c>
      <c r="B266" t="s">
        <v>525</v>
      </c>
      <c r="C266">
        <v>21</v>
      </c>
      <c r="D266" t="s">
        <v>810</v>
      </c>
      <c r="E266">
        <v>26.1</v>
      </c>
      <c r="F266">
        <v>33.9</v>
      </c>
    </row>
    <row r="267" spans="1:6">
      <c r="A267">
        <v>2</v>
      </c>
      <c r="B267" t="s">
        <v>515</v>
      </c>
      <c r="C267">
        <v>4</v>
      </c>
      <c r="D267" t="s">
        <v>871</v>
      </c>
      <c r="E267">
        <v>42.8</v>
      </c>
      <c r="F267">
        <v>27.9</v>
      </c>
    </row>
    <row r="268" spans="1:6">
      <c r="A268">
        <v>2</v>
      </c>
      <c r="B268" t="s">
        <v>552</v>
      </c>
      <c r="C268">
        <v>-1</v>
      </c>
      <c r="D268" t="s">
        <v>888</v>
      </c>
      <c r="E268">
        <v>12.1</v>
      </c>
      <c r="F268">
        <v>11.5</v>
      </c>
    </row>
    <row r="269" spans="1:6">
      <c r="A269">
        <v>4</v>
      </c>
      <c r="B269" t="s">
        <v>512</v>
      </c>
      <c r="C269">
        <v>21</v>
      </c>
      <c r="D269" t="s">
        <v>929</v>
      </c>
      <c r="E269">
        <v>130</v>
      </c>
      <c r="F269">
        <v>24.1</v>
      </c>
    </row>
    <row r="270" spans="1:6">
      <c r="A270">
        <v>2</v>
      </c>
      <c r="B270" t="s">
        <v>546</v>
      </c>
      <c r="C270">
        <v>4</v>
      </c>
      <c r="D270" t="s">
        <v>868</v>
      </c>
      <c r="E270">
        <v>27.1</v>
      </c>
      <c r="F270">
        <v>31.7</v>
      </c>
    </row>
    <row r="271" spans="1:6">
      <c r="A271">
        <v>2</v>
      </c>
      <c r="B271" t="s">
        <v>512</v>
      </c>
      <c r="C271">
        <v>9</v>
      </c>
      <c r="D271" t="s">
        <v>924</v>
      </c>
      <c r="E271">
        <v>58.3</v>
      </c>
      <c r="F271">
        <v>70.7</v>
      </c>
    </row>
    <row r="272" spans="1:6">
      <c r="A272">
        <v>4</v>
      </c>
      <c r="B272" t="s">
        <v>535</v>
      </c>
      <c r="C272">
        <v>42</v>
      </c>
      <c r="D272" t="s">
        <v>889</v>
      </c>
      <c r="E272">
        <v>99.4</v>
      </c>
      <c r="F272">
        <v>38</v>
      </c>
    </row>
    <row r="273" spans="1:6">
      <c r="A273">
        <v>4</v>
      </c>
      <c r="B273" t="s">
        <v>512</v>
      </c>
      <c r="C273">
        <v>22</v>
      </c>
      <c r="D273" t="s">
        <v>801</v>
      </c>
      <c r="E273">
        <v>103</v>
      </c>
      <c r="F273">
        <v>70.400000000000006</v>
      </c>
    </row>
    <row r="274" spans="1:6">
      <c r="A274">
        <v>4</v>
      </c>
      <c r="B274" t="s">
        <v>540</v>
      </c>
      <c r="C274">
        <v>-1</v>
      </c>
      <c r="D274" t="s">
        <v>890</v>
      </c>
      <c r="E274">
        <v>23.5</v>
      </c>
      <c r="F274">
        <v>29.8</v>
      </c>
    </row>
    <row r="275" spans="1:6">
      <c r="A275">
        <v>4</v>
      </c>
      <c r="B275" t="s">
        <v>548</v>
      </c>
      <c r="C275">
        <v>-1</v>
      </c>
      <c r="D275" t="s">
        <v>917</v>
      </c>
      <c r="E275">
        <v>19.8</v>
      </c>
      <c r="F275">
        <v>17.899999999999999</v>
      </c>
    </row>
    <row r="276" spans="1:6">
      <c r="A276">
        <v>2</v>
      </c>
      <c r="B276" t="s">
        <v>548</v>
      </c>
      <c r="C276">
        <v>8</v>
      </c>
      <c r="D276" t="s">
        <v>781</v>
      </c>
      <c r="E276">
        <v>15.9</v>
      </c>
      <c r="F276">
        <v>22.5</v>
      </c>
    </row>
    <row r="277" spans="1:6">
      <c r="A277">
        <v>2</v>
      </c>
      <c r="B277" t="s">
        <v>513</v>
      </c>
      <c r="C277">
        <v>42</v>
      </c>
      <c r="D277" t="s">
        <v>796</v>
      </c>
      <c r="E277">
        <v>142.19999999999999</v>
      </c>
      <c r="F277">
        <v>25</v>
      </c>
    </row>
    <row r="278" spans="1:6">
      <c r="A278">
        <v>2</v>
      </c>
      <c r="B278" t="s">
        <v>543</v>
      </c>
      <c r="C278">
        <v>3</v>
      </c>
      <c r="D278" t="s">
        <v>800</v>
      </c>
      <c r="E278">
        <v>20.3</v>
      </c>
      <c r="F278">
        <v>37</v>
      </c>
    </row>
    <row r="279" spans="1:6">
      <c r="A279">
        <v>4</v>
      </c>
      <c r="B279" t="s">
        <v>512</v>
      </c>
      <c r="C279">
        <v>42</v>
      </c>
      <c r="D279" t="s">
        <v>874</v>
      </c>
      <c r="E279">
        <v>147.80000000000001</v>
      </c>
      <c r="F279">
        <v>23.4</v>
      </c>
    </row>
    <row r="280" spans="1:6">
      <c r="A280">
        <v>2</v>
      </c>
      <c r="B280" t="s">
        <v>525</v>
      </c>
      <c r="C280">
        <v>22</v>
      </c>
      <c r="D280" t="s">
        <v>808</v>
      </c>
      <c r="E280">
        <v>29.7</v>
      </c>
      <c r="F280">
        <v>38.700000000000003</v>
      </c>
    </row>
    <row r="281" spans="1:6">
      <c r="A281">
        <v>2</v>
      </c>
      <c r="B281" t="s">
        <v>531</v>
      </c>
      <c r="C281">
        <v>-1</v>
      </c>
      <c r="D281" t="s">
        <v>894</v>
      </c>
      <c r="E281">
        <v>17.8</v>
      </c>
      <c r="F281">
        <v>19.399999999999999</v>
      </c>
    </row>
    <row r="282" spans="1:6">
      <c r="A282">
        <v>4</v>
      </c>
      <c r="B282" t="s">
        <v>521</v>
      </c>
      <c r="C282">
        <v>1</v>
      </c>
      <c r="D282" t="s">
        <v>879</v>
      </c>
      <c r="E282">
        <v>25.8</v>
      </c>
      <c r="F282">
        <v>27.1</v>
      </c>
    </row>
    <row r="283" spans="1:6">
      <c r="A283">
        <v>4</v>
      </c>
      <c r="B283" t="s">
        <v>550</v>
      </c>
      <c r="C283">
        <v>22</v>
      </c>
      <c r="D283" t="s">
        <v>805</v>
      </c>
      <c r="E283">
        <v>28</v>
      </c>
      <c r="F283">
        <v>24</v>
      </c>
    </row>
    <row r="284" spans="1:6">
      <c r="A284">
        <v>4</v>
      </c>
      <c r="B284" t="s">
        <v>537</v>
      </c>
      <c r="C284">
        <v>-1</v>
      </c>
      <c r="D284" t="s">
        <v>816</v>
      </c>
      <c r="E284">
        <v>13.7</v>
      </c>
      <c r="F284">
        <v>15</v>
      </c>
    </row>
    <row r="285" spans="1:6">
      <c r="A285">
        <v>2</v>
      </c>
      <c r="B285" t="s">
        <v>547</v>
      </c>
      <c r="C285">
        <v>6</v>
      </c>
      <c r="D285" t="s">
        <v>848</v>
      </c>
      <c r="E285">
        <v>11.5</v>
      </c>
      <c r="F285">
        <v>10.8</v>
      </c>
    </row>
    <row r="286" spans="1:6">
      <c r="A286">
        <v>2</v>
      </c>
      <c r="B286" t="s">
        <v>555</v>
      </c>
      <c r="C286">
        <v>-1</v>
      </c>
      <c r="D286" t="s">
        <v>846</v>
      </c>
      <c r="E286">
        <v>20.8</v>
      </c>
      <c r="F286">
        <v>18</v>
      </c>
    </row>
    <row r="287" spans="1:6">
      <c r="A287">
        <v>4</v>
      </c>
      <c r="B287" t="s">
        <v>543</v>
      </c>
      <c r="C287">
        <v>-1</v>
      </c>
      <c r="D287" t="s">
        <v>935</v>
      </c>
      <c r="E287">
        <v>26.2</v>
      </c>
      <c r="F287">
        <v>28.8</v>
      </c>
    </row>
    <row r="288" spans="1:6">
      <c r="A288">
        <v>2</v>
      </c>
      <c r="B288" t="s">
        <v>549</v>
      </c>
      <c r="C288">
        <v>7</v>
      </c>
      <c r="D288" t="s">
        <v>789</v>
      </c>
      <c r="E288">
        <v>30</v>
      </c>
      <c r="F288">
        <v>32.9</v>
      </c>
    </row>
    <row r="289" spans="1:6">
      <c r="A289">
        <v>4</v>
      </c>
      <c r="B289" t="s">
        <v>527</v>
      </c>
      <c r="C289">
        <v>22</v>
      </c>
      <c r="D289" t="s">
        <v>795</v>
      </c>
      <c r="E289">
        <v>48</v>
      </c>
      <c r="F289">
        <v>48.7</v>
      </c>
    </row>
    <row r="290" spans="1:6">
      <c r="A290">
        <v>2</v>
      </c>
      <c r="B290" t="s">
        <v>551</v>
      </c>
      <c r="C290">
        <v>9</v>
      </c>
      <c r="D290" t="s">
        <v>857</v>
      </c>
      <c r="E290">
        <v>43.4</v>
      </c>
      <c r="F290">
        <v>43</v>
      </c>
    </row>
    <row r="291" spans="1:6">
      <c r="A291">
        <v>2</v>
      </c>
      <c r="B291" t="s">
        <v>514</v>
      </c>
      <c r="C291">
        <v>5</v>
      </c>
      <c r="D291" t="s">
        <v>785</v>
      </c>
      <c r="E291">
        <v>29.4</v>
      </c>
      <c r="F291">
        <v>25.5</v>
      </c>
    </row>
    <row r="292" spans="1:6">
      <c r="A292">
        <v>2</v>
      </c>
      <c r="B292" t="s">
        <v>518</v>
      </c>
      <c r="C292">
        <v>1</v>
      </c>
      <c r="D292" t="s">
        <v>903</v>
      </c>
      <c r="E292">
        <v>25</v>
      </c>
      <c r="F292">
        <v>16.899999999999999</v>
      </c>
    </row>
    <row r="293" spans="1:6">
      <c r="A293">
        <v>4</v>
      </c>
      <c r="B293" t="s">
        <v>558</v>
      </c>
      <c r="C293">
        <v>-1</v>
      </c>
      <c r="D293" t="s">
        <v>803</v>
      </c>
      <c r="E293">
        <v>18.2</v>
      </c>
      <c r="F293">
        <v>17.100000000000001</v>
      </c>
    </row>
    <row r="294" spans="1:6">
      <c r="A294">
        <v>2</v>
      </c>
      <c r="B294" t="s">
        <v>541</v>
      </c>
      <c r="C294">
        <v>3</v>
      </c>
      <c r="D294" t="s">
        <v>875</v>
      </c>
      <c r="E294">
        <v>9.4</v>
      </c>
      <c r="F294">
        <v>14.7</v>
      </c>
    </row>
    <row r="295" spans="1:6">
      <c r="A295">
        <v>2</v>
      </c>
      <c r="B295" t="s">
        <v>519</v>
      </c>
      <c r="C295">
        <v>1</v>
      </c>
      <c r="D295" t="s">
        <v>883</v>
      </c>
      <c r="E295">
        <v>21.8</v>
      </c>
      <c r="F295">
        <v>25.7</v>
      </c>
    </row>
    <row r="296" spans="1:6">
      <c r="A296">
        <v>2</v>
      </c>
      <c r="B296" t="s">
        <v>521</v>
      </c>
      <c r="C296">
        <v>1</v>
      </c>
      <c r="D296" t="s">
        <v>860</v>
      </c>
      <c r="E296">
        <v>33.299999999999997</v>
      </c>
      <c r="F296">
        <v>29</v>
      </c>
    </row>
    <row r="297" spans="1:6">
      <c r="A297">
        <v>4</v>
      </c>
      <c r="B297" t="s">
        <v>526</v>
      </c>
      <c r="C297">
        <v>22</v>
      </c>
      <c r="D297" t="s">
        <v>936</v>
      </c>
      <c r="E297">
        <v>27.7</v>
      </c>
      <c r="F297">
        <v>20.100000000000001</v>
      </c>
    </row>
    <row r="298" spans="1:6">
      <c r="A298">
        <v>4</v>
      </c>
      <c r="B298" t="s">
        <v>512</v>
      </c>
      <c r="C298">
        <v>41</v>
      </c>
      <c r="D298" t="s">
        <v>866</v>
      </c>
      <c r="E298">
        <v>129.1</v>
      </c>
      <c r="F298">
        <v>29.5</v>
      </c>
    </row>
    <row r="299" spans="1:6">
      <c r="A299">
        <v>2</v>
      </c>
      <c r="B299" t="s">
        <v>548</v>
      </c>
      <c r="C299">
        <v>6</v>
      </c>
      <c r="D299" t="s">
        <v>852</v>
      </c>
      <c r="E299">
        <v>15.5</v>
      </c>
      <c r="F299">
        <v>22.5</v>
      </c>
    </row>
    <row r="300" spans="1:6">
      <c r="A300">
        <v>2</v>
      </c>
      <c r="B300" t="s">
        <v>514</v>
      </c>
      <c r="C300">
        <v>8</v>
      </c>
      <c r="D300" t="s">
        <v>906</v>
      </c>
      <c r="E300">
        <v>29.4</v>
      </c>
      <c r="F300">
        <v>25.5</v>
      </c>
    </row>
    <row r="301" spans="1:6">
      <c r="A301">
        <v>2</v>
      </c>
      <c r="B301" t="s">
        <v>529</v>
      </c>
      <c r="C301">
        <v>21</v>
      </c>
      <c r="D301" t="s">
        <v>938</v>
      </c>
      <c r="E301">
        <v>70.099999999999994</v>
      </c>
      <c r="F301">
        <v>46.6</v>
      </c>
    </row>
    <row r="302" spans="1:6">
      <c r="A302">
        <v>2</v>
      </c>
      <c r="B302" t="s">
        <v>549</v>
      </c>
      <c r="C302">
        <v>6</v>
      </c>
      <c r="D302" t="s">
        <v>921</v>
      </c>
      <c r="E302">
        <v>25.2</v>
      </c>
      <c r="F302">
        <v>31.5</v>
      </c>
    </row>
    <row r="303" spans="1:6">
      <c r="A303">
        <v>2</v>
      </c>
      <c r="B303" t="s">
        <v>557</v>
      </c>
      <c r="C303">
        <v>-1</v>
      </c>
      <c r="D303" t="s">
        <v>804</v>
      </c>
      <c r="E303">
        <v>15.9</v>
      </c>
      <c r="F303">
        <v>12.5</v>
      </c>
    </row>
    <row r="304" spans="1:6">
      <c r="A304">
        <v>2</v>
      </c>
      <c r="B304" t="s">
        <v>514</v>
      </c>
      <c r="C304">
        <v>3</v>
      </c>
      <c r="D304" t="s">
        <v>908</v>
      </c>
      <c r="E304">
        <v>29.4</v>
      </c>
      <c r="F304">
        <v>25.5</v>
      </c>
    </row>
    <row r="305" spans="1:6">
      <c r="A305">
        <v>2</v>
      </c>
      <c r="B305" t="s">
        <v>534</v>
      </c>
      <c r="C305">
        <v>42</v>
      </c>
      <c r="D305" t="s">
        <v>834</v>
      </c>
      <c r="E305">
        <v>74.5</v>
      </c>
      <c r="F305">
        <v>29.8</v>
      </c>
    </row>
    <row r="306" spans="1:6">
      <c r="A306">
        <v>4</v>
      </c>
      <c r="B306" t="s">
        <v>545</v>
      </c>
      <c r="C306">
        <v>-1</v>
      </c>
      <c r="D306" t="s">
        <v>870</v>
      </c>
      <c r="E306">
        <v>20.6</v>
      </c>
      <c r="F306">
        <v>19.7</v>
      </c>
    </row>
    <row r="307" spans="1:6">
      <c r="A307">
        <v>2</v>
      </c>
      <c r="B307" t="s">
        <v>554</v>
      </c>
      <c r="C307">
        <v>-1</v>
      </c>
      <c r="D307" t="s">
        <v>793</v>
      </c>
      <c r="E307">
        <v>16.3</v>
      </c>
      <c r="F307">
        <v>20.100000000000001</v>
      </c>
    </row>
    <row r="308" spans="1:6">
      <c r="A308">
        <v>4</v>
      </c>
      <c r="B308" t="s">
        <v>533</v>
      </c>
      <c r="C308">
        <v>42</v>
      </c>
      <c r="D308" t="s">
        <v>826</v>
      </c>
      <c r="E308">
        <v>37.1</v>
      </c>
      <c r="F308">
        <v>12.4</v>
      </c>
    </row>
    <row r="309" spans="1:6">
      <c r="A309">
        <v>4</v>
      </c>
      <c r="B309" t="s">
        <v>514</v>
      </c>
      <c r="C309">
        <v>1</v>
      </c>
      <c r="D309" t="s">
        <v>877</v>
      </c>
      <c r="E309">
        <v>36.5</v>
      </c>
      <c r="F309">
        <v>15.3</v>
      </c>
    </row>
    <row r="310" spans="1:6">
      <c r="A310">
        <v>2</v>
      </c>
      <c r="B310" t="s">
        <v>528</v>
      </c>
      <c r="C310">
        <v>22</v>
      </c>
      <c r="D310" t="s">
        <v>916</v>
      </c>
      <c r="E310">
        <v>46.5</v>
      </c>
      <c r="F310">
        <v>34.299999999999997</v>
      </c>
    </row>
    <row r="311" spans="1:6">
      <c r="A311">
        <v>4</v>
      </c>
      <c r="B311" t="s">
        <v>532</v>
      </c>
      <c r="C311">
        <v>-1</v>
      </c>
      <c r="D311" t="s">
        <v>926</v>
      </c>
      <c r="E311">
        <v>27.1</v>
      </c>
      <c r="F311">
        <v>27.4</v>
      </c>
    </row>
    <row r="312" spans="1:6">
      <c r="A312">
        <v>4</v>
      </c>
      <c r="B312" t="s">
        <v>534</v>
      </c>
      <c r="C312">
        <v>42</v>
      </c>
      <c r="D312" t="s">
        <v>777</v>
      </c>
      <c r="E312">
        <v>74.5</v>
      </c>
      <c r="F312">
        <v>29.8</v>
      </c>
    </row>
    <row r="313" spans="1:6">
      <c r="A313">
        <v>2</v>
      </c>
      <c r="B313" t="s">
        <v>513</v>
      </c>
      <c r="C313">
        <v>21</v>
      </c>
      <c r="D313" t="s">
        <v>904</v>
      </c>
      <c r="E313">
        <v>124.6</v>
      </c>
      <c r="F313">
        <v>56.6</v>
      </c>
    </row>
    <row r="314" spans="1:6">
      <c r="A314">
        <v>4</v>
      </c>
      <c r="B314" t="s">
        <v>551</v>
      </c>
      <c r="C314">
        <v>-1</v>
      </c>
      <c r="D314" t="s">
        <v>813</v>
      </c>
      <c r="E314">
        <v>70.5</v>
      </c>
      <c r="F314">
        <v>21.5</v>
      </c>
    </row>
    <row r="315" spans="1:6">
      <c r="A315">
        <v>2</v>
      </c>
      <c r="B315" t="s">
        <v>556</v>
      </c>
      <c r="C315">
        <v>-1</v>
      </c>
      <c r="D315" t="s">
        <v>882</v>
      </c>
      <c r="E315">
        <v>24.3</v>
      </c>
      <c r="F315">
        <v>26.2</v>
      </c>
    </row>
    <row r="316" spans="1:6">
      <c r="A316">
        <v>4</v>
      </c>
      <c r="B316" t="s">
        <v>555</v>
      </c>
      <c r="C316">
        <v>-1</v>
      </c>
      <c r="D316" t="s">
        <v>885</v>
      </c>
      <c r="E316">
        <v>21.8</v>
      </c>
      <c r="F316">
        <v>17.100000000000001</v>
      </c>
    </row>
    <row r="317" spans="1:6">
      <c r="A317">
        <v>2</v>
      </c>
      <c r="B317" t="s">
        <v>546</v>
      </c>
      <c r="C317">
        <v>5</v>
      </c>
      <c r="D317" t="s">
        <v>895</v>
      </c>
      <c r="E317">
        <v>29.6</v>
      </c>
      <c r="F317">
        <v>34.1</v>
      </c>
    </row>
    <row r="318" spans="1:6">
      <c r="A318">
        <v>4</v>
      </c>
      <c r="B318" t="s">
        <v>520</v>
      </c>
      <c r="C318">
        <v>1</v>
      </c>
      <c r="D318" t="s">
        <v>851</v>
      </c>
      <c r="E318">
        <v>33.9</v>
      </c>
      <c r="F318">
        <v>24</v>
      </c>
    </row>
    <row r="319" spans="1:6">
      <c r="A319">
        <v>2</v>
      </c>
      <c r="B319" t="s">
        <v>514</v>
      </c>
      <c r="C319">
        <v>1</v>
      </c>
      <c r="D319" t="s">
        <v>891</v>
      </c>
      <c r="E319">
        <v>41.3</v>
      </c>
      <c r="F319">
        <v>18.3</v>
      </c>
    </row>
    <row r="320" spans="1:6">
      <c r="A320">
        <v>2</v>
      </c>
      <c r="B320" t="s">
        <v>549</v>
      </c>
      <c r="C320">
        <v>8</v>
      </c>
      <c r="D320" t="s">
        <v>818</v>
      </c>
      <c r="E320">
        <v>27.6</v>
      </c>
      <c r="F320">
        <v>27</v>
      </c>
    </row>
    <row r="321" spans="1:6">
      <c r="A321">
        <v>4</v>
      </c>
      <c r="B321" t="s">
        <v>513</v>
      </c>
      <c r="C321">
        <v>42</v>
      </c>
      <c r="D321" t="s">
        <v>863</v>
      </c>
      <c r="E321">
        <v>142.19999999999999</v>
      </c>
      <c r="F321">
        <v>25</v>
      </c>
    </row>
    <row r="322" spans="1:6">
      <c r="A322">
        <v>4</v>
      </c>
      <c r="B322" t="s">
        <v>527</v>
      </c>
      <c r="C322">
        <v>21</v>
      </c>
      <c r="D322" t="s">
        <v>784</v>
      </c>
      <c r="E322">
        <v>38.4</v>
      </c>
      <c r="F322">
        <v>49.4</v>
      </c>
    </row>
    <row r="323" spans="1:6">
      <c r="A323">
        <v>4</v>
      </c>
      <c r="B323" t="s">
        <v>513</v>
      </c>
      <c r="C323">
        <v>21</v>
      </c>
      <c r="D323" t="s">
        <v>892</v>
      </c>
      <c r="E323">
        <v>124.6</v>
      </c>
      <c r="F323">
        <v>56.6</v>
      </c>
    </row>
    <row r="324" spans="1:6">
      <c r="A324">
        <v>4</v>
      </c>
      <c r="B324" t="s">
        <v>550</v>
      </c>
      <c r="C324">
        <v>42</v>
      </c>
      <c r="D324" t="s">
        <v>806</v>
      </c>
      <c r="E324">
        <v>61.3</v>
      </c>
      <c r="F324">
        <v>10.8</v>
      </c>
    </row>
    <row r="325" spans="1:6">
      <c r="A325">
        <v>2</v>
      </c>
      <c r="B325" t="s">
        <v>540</v>
      </c>
      <c r="C325">
        <v>-1</v>
      </c>
      <c r="D325" t="s">
        <v>912</v>
      </c>
      <c r="E325">
        <v>25.9</v>
      </c>
      <c r="F325">
        <v>31.1</v>
      </c>
    </row>
    <row r="326" spans="1:6">
      <c r="A326">
        <v>2</v>
      </c>
      <c r="B326" t="s">
        <v>544</v>
      </c>
      <c r="C326">
        <v>5</v>
      </c>
      <c r="D326" t="s">
        <v>841</v>
      </c>
      <c r="E326">
        <v>11.5</v>
      </c>
      <c r="F326">
        <v>16.100000000000001</v>
      </c>
    </row>
    <row r="327" spans="1:6">
      <c r="A327">
        <v>2</v>
      </c>
      <c r="B327" t="s">
        <v>551</v>
      </c>
      <c r="C327">
        <v>42</v>
      </c>
      <c r="D327" t="s">
        <v>896</v>
      </c>
      <c r="E327">
        <v>104</v>
      </c>
      <c r="F327">
        <v>29.2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K118"/>
  <sheetViews>
    <sheetView showGridLines="0" topLeftCell="D1" workbookViewId="0">
      <selection activeCell="J51" sqref="J51"/>
    </sheetView>
  </sheetViews>
  <sheetFormatPr defaultColWidth="9.140625" defaultRowHeight="15"/>
  <cols>
    <col min="1" max="1" width="9.140625" style="3"/>
    <col min="2" max="2" width="30.28515625" style="3" customWidth="1"/>
    <col min="3" max="3" width="117.140625" style="3" bestFit="1" customWidth="1"/>
    <col min="4" max="4" width="110.7109375" style="3" bestFit="1" customWidth="1"/>
    <col min="5" max="5" width="13.5703125" style="3" customWidth="1"/>
    <col min="6" max="6" width="10.85546875" style="3" bestFit="1" customWidth="1"/>
    <col min="7" max="7" width="15.85546875" style="3" customWidth="1"/>
    <col min="8" max="8" width="22.7109375" style="3" customWidth="1"/>
    <col min="9" max="9" width="28.140625" style="3" customWidth="1"/>
    <col min="10" max="10" width="25.28515625" style="3" customWidth="1"/>
    <col min="11" max="11" width="65.85546875" style="3" bestFit="1" customWidth="1"/>
    <col min="12" max="16384" width="9.140625" style="3"/>
  </cols>
  <sheetData>
    <row r="1" spans="2:11">
      <c r="B1" s="3" t="s">
        <v>1</v>
      </c>
    </row>
    <row r="2" spans="2:11">
      <c r="B2" s="3" t="s">
        <v>2</v>
      </c>
      <c r="C2" s="3" t="s">
        <v>52</v>
      </c>
      <c r="D2" s="3" t="s">
        <v>3</v>
      </c>
      <c r="E2" s="3" t="s">
        <v>4</v>
      </c>
      <c r="F2" s="3" t="s">
        <v>5</v>
      </c>
      <c r="H2" s="3" t="s">
        <v>211</v>
      </c>
      <c r="I2" s="3" t="s">
        <v>84</v>
      </c>
      <c r="J2" s="3" t="s">
        <v>212</v>
      </c>
      <c r="K2" s="3" t="s">
        <v>218</v>
      </c>
    </row>
    <row r="3" spans="2:11">
      <c r="B3" s="3">
        <v>1.1100000000000001</v>
      </c>
      <c r="C3" s="3" t="str">
        <f t="shared" ref="C3:C18" si="0">CONCATENATE(B3," - ",D3)</f>
        <v>1.11 - Stroke, Haemorrhagic, Left Body Involvement(Right Brain)</v>
      </c>
      <c r="D3" s="3" t="s">
        <v>417</v>
      </c>
      <c r="E3" s="3">
        <f t="shared" ref="E3:E18" si="1">ROUNDDOWN(B3,0)</f>
        <v>1</v>
      </c>
      <c r="F3" s="3">
        <f t="shared" ref="F3:F18" si="2">(B3-E3)*10000</f>
        <v>1100.0000000000009</v>
      </c>
      <c r="H3" s="3" t="str">
        <f>IF(AND(RehabTypeValue=1,AssessOnlyValue=1),"MATCH", "###")</f>
        <v>###</v>
      </c>
      <c r="I3" s="3" t="s">
        <v>88</v>
      </c>
      <c r="J3" s="3" t="s">
        <v>89</v>
      </c>
      <c r="K3" s="3" t="s">
        <v>90</v>
      </c>
    </row>
    <row r="4" spans="2:11">
      <c r="B4" s="3">
        <v>1.1200000000000001</v>
      </c>
      <c r="C4" s="3" t="str">
        <f t="shared" si="0"/>
        <v>1.12 - Stroke, Haemorrhagic, Right Body Involvement(Left Brain)</v>
      </c>
      <c r="D4" s="3" t="s">
        <v>418</v>
      </c>
      <c r="E4" s="3">
        <f t="shared" si="1"/>
        <v>1</v>
      </c>
      <c r="F4" s="3">
        <f t="shared" si="2"/>
        <v>1200.0000000000011</v>
      </c>
      <c r="H4" s="3" t="str">
        <f>IF(AND(RehabTypeValue=1,AssessOnlyValue&lt;&gt;1,OR(AND(AICmajor&lt;5,AICmajor&gt;1),AICmajor=14),FIMMotor=13),"MATCH", "###")</f>
        <v>###</v>
      </c>
      <c r="I4" s="3" t="s">
        <v>91</v>
      </c>
      <c r="J4" s="3" t="s">
        <v>89</v>
      </c>
      <c r="K4" s="3" t="s">
        <v>92</v>
      </c>
    </row>
    <row r="5" spans="2:11">
      <c r="B5" s="3">
        <v>1.1299999999999999</v>
      </c>
      <c r="C5" s="3" t="str">
        <f t="shared" si="0"/>
        <v>1.13 - Stroke, Haemorrhagic, Bilateral Involvement</v>
      </c>
      <c r="D5" s="3" t="s">
        <v>419</v>
      </c>
      <c r="E5" s="3">
        <f t="shared" si="1"/>
        <v>1</v>
      </c>
      <c r="F5" s="3">
        <f t="shared" si="2"/>
        <v>1299.9999999999989</v>
      </c>
      <c r="H5" s="3" t="str">
        <f>IF(AND(RehabTypeValue=1,AssessOnlyValue&lt;&gt;1,OR(AICmajor&gt;4,AICmajor&lt;2),AICmajor&lt;&gt;14,FIMMotor=13),"MATCH","###")</f>
        <v>###</v>
      </c>
      <c r="I5" s="3" t="s">
        <v>93</v>
      </c>
      <c r="J5" s="3" t="s">
        <v>89</v>
      </c>
      <c r="K5" s="3" t="s">
        <v>94</v>
      </c>
    </row>
    <row r="6" spans="2:11">
      <c r="B6" s="3">
        <v>1.1399999999999999</v>
      </c>
      <c r="C6" s="3" t="str">
        <f t="shared" si="0"/>
        <v>1.14 - Stroke, Haemorrhagic, No Paresis</v>
      </c>
      <c r="D6" s="3" t="s">
        <v>416</v>
      </c>
      <c r="E6" s="3">
        <f t="shared" si="1"/>
        <v>1</v>
      </c>
      <c r="F6" s="3">
        <f t="shared" si="2"/>
        <v>1399.9999999999991</v>
      </c>
      <c r="H6" s="3" t="str">
        <f>IF(AND(RehabTypeValue=1,AssessOnlyValue&lt;&gt;1,AICmajor=1,FIMMotor&gt;62,FIM_Cognition&gt;19),"MATCH","###")</f>
        <v>###</v>
      </c>
      <c r="I6" s="3" t="s">
        <v>95</v>
      </c>
      <c r="J6" s="3" t="s">
        <v>89</v>
      </c>
      <c r="K6" s="3" t="s">
        <v>96</v>
      </c>
    </row>
    <row r="7" spans="2:11">
      <c r="B7" s="3">
        <v>1.19</v>
      </c>
      <c r="C7" s="3" t="str">
        <f t="shared" si="0"/>
        <v>1.19 - Other haemorrhagic stroke</v>
      </c>
      <c r="D7" s="3" t="s">
        <v>6</v>
      </c>
      <c r="E7" s="3">
        <f t="shared" si="1"/>
        <v>1</v>
      </c>
      <c r="F7" s="3">
        <f t="shared" si="2"/>
        <v>1899.9999999999995</v>
      </c>
      <c r="H7" s="3" t="str">
        <f>IF(AND(RehabTypeValue=1,AssessOnlyValue&lt;&gt;1,AICmajor=1,FIMMotor&gt;62,FIM_Cognition&lt;20),"MATCH","###")</f>
        <v>###</v>
      </c>
      <c r="I7" s="3" t="s">
        <v>97</v>
      </c>
      <c r="J7" s="3" t="s">
        <v>89</v>
      </c>
      <c r="K7" s="3" t="s">
        <v>98</v>
      </c>
    </row>
    <row r="8" spans="2:11">
      <c r="B8" s="3">
        <v>1.21</v>
      </c>
      <c r="C8" s="3" t="str">
        <f t="shared" si="0"/>
        <v>1.21 - Stroke, Ischaemic, Left Body Involvement(Right Brain)</v>
      </c>
      <c r="D8" s="3" t="s">
        <v>7</v>
      </c>
      <c r="E8" s="3">
        <f t="shared" si="1"/>
        <v>1</v>
      </c>
      <c r="F8" s="3">
        <f t="shared" si="2"/>
        <v>2099.9999999999995</v>
      </c>
      <c r="H8" s="3" t="str">
        <f>IF(AND(RehabTypeValue=1,AssessOnlyValue&lt;&gt;1,AICmajor=1,FIMMotor&lt;63,FIMMotor&gt;46,FIM_Cognition&gt;15),"MATCH","###")</f>
        <v>###</v>
      </c>
      <c r="I8" s="3" t="s">
        <v>99</v>
      </c>
      <c r="J8" s="3" t="s">
        <v>89</v>
      </c>
      <c r="K8" s="3" t="s">
        <v>100</v>
      </c>
    </row>
    <row r="9" spans="2:11">
      <c r="B9" s="3">
        <v>1.22</v>
      </c>
      <c r="C9" s="3" t="str">
        <f t="shared" si="0"/>
        <v>1.22 - Stroke, Ischaemic, Right Body Involvement(Left Brain)</v>
      </c>
      <c r="D9" s="3" t="s">
        <v>8</v>
      </c>
      <c r="E9" s="3">
        <f t="shared" si="1"/>
        <v>1</v>
      </c>
      <c r="F9" s="3">
        <f t="shared" si="2"/>
        <v>2199.9999999999995</v>
      </c>
      <c r="H9" s="3" t="str">
        <f>IF(AND(RehabTypeValue=1,AssessOnlyValue&lt;&gt;1,AICmajor=1,FIMMotor&lt;63,FIMMotor&gt;46,FIM_Cognition&lt;16),"MATCH","###")</f>
        <v>###</v>
      </c>
      <c r="I9" s="3" t="s">
        <v>101</v>
      </c>
      <c r="J9" s="3" t="s">
        <v>89</v>
      </c>
      <c r="K9" s="3" t="s">
        <v>102</v>
      </c>
    </row>
    <row r="10" spans="2:11">
      <c r="B10" s="3">
        <v>1.23</v>
      </c>
      <c r="C10" s="3" t="str">
        <f t="shared" si="0"/>
        <v>1.23 - Stroke, Ischaemic, Bilateral Involvement</v>
      </c>
      <c r="D10" s="3" t="s">
        <v>9</v>
      </c>
      <c r="E10" s="3">
        <f t="shared" si="1"/>
        <v>1</v>
      </c>
      <c r="F10" s="3">
        <f t="shared" si="2"/>
        <v>2300</v>
      </c>
      <c r="H10" s="3" t="str">
        <f>IF(AND(RehabTypeValue=1,AssessOnlyValue&lt;&gt;1,AICmajor=1,FIMMotor&gt;13,FIMMotor&lt;47,Age&gt;74),"MATCH","###")</f>
        <v>###</v>
      </c>
      <c r="I10" s="3" t="s">
        <v>103</v>
      </c>
      <c r="J10" s="3" t="s">
        <v>89</v>
      </c>
      <c r="K10" s="3" t="s">
        <v>104</v>
      </c>
    </row>
    <row r="11" spans="2:11">
      <c r="B11" s="3">
        <v>1.24</v>
      </c>
      <c r="C11" s="3" t="str">
        <f t="shared" si="0"/>
        <v>1.24 - Stroke, Ischaemic, No Paresis</v>
      </c>
      <c r="D11" s="3" t="s">
        <v>471</v>
      </c>
      <c r="E11" s="3">
        <f t="shared" si="1"/>
        <v>1</v>
      </c>
      <c r="F11" s="3">
        <f t="shared" si="2"/>
        <v>2400</v>
      </c>
      <c r="H11" s="3" t="str">
        <f>IF(AND(RehabTypeValue=1,AssessOnlyValue&lt;&gt;1,AICmajor=1,FIMMotor&gt;13,FIMMotor&lt;47,Age&lt;75),"MATCH","###")</f>
        <v>###</v>
      </c>
      <c r="I11" s="3" t="s">
        <v>105</v>
      </c>
      <c r="J11" s="3" t="s">
        <v>89</v>
      </c>
      <c r="K11" s="3" t="s">
        <v>106</v>
      </c>
    </row>
    <row r="12" spans="2:11">
      <c r="B12" s="3">
        <v>1.29</v>
      </c>
      <c r="C12" s="3" t="str">
        <f t="shared" si="0"/>
        <v>1.29 - Otherischaemic stroke</v>
      </c>
      <c r="D12" s="3" t="s">
        <v>10</v>
      </c>
      <c r="E12" s="3">
        <f t="shared" si="1"/>
        <v>1</v>
      </c>
      <c r="F12" s="3">
        <f t="shared" si="2"/>
        <v>2900.0000000000005</v>
      </c>
      <c r="H12" s="3" t="str">
        <f>IF(AND(RehabTypeValue=1,AssessOnlyValue&lt;&gt;1,AICmajor=2,FIMMotor&gt;55,FIM_Cognition&gt;31),"MATCH","###")</f>
        <v>###</v>
      </c>
      <c r="I12" s="3" t="s">
        <v>107</v>
      </c>
      <c r="J12" s="3" t="s">
        <v>89</v>
      </c>
      <c r="K12" s="3" t="s">
        <v>108</v>
      </c>
    </row>
    <row r="13" spans="2:11">
      <c r="B13" s="3">
        <v>2.11</v>
      </c>
      <c r="C13" s="3" t="str">
        <f t="shared" si="0"/>
        <v>2.11 - BrainDysfunction, Non traumatic, subarachnoid haemorrhage</v>
      </c>
      <c r="D13" s="3" t="s">
        <v>421</v>
      </c>
      <c r="E13" s="3">
        <f t="shared" si="1"/>
        <v>2</v>
      </c>
      <c r="F13" s="3">
        <f t="shared" si="2"/>
        <v>1099.9999999999989</v>
      </c>
      <c r="H13" s="3" t="str">
        <f>IF(AND(RehabTypeValue=1,AssessOnlyValue&lt;&gt;1,AICmajor=2,FIMMotor&gt;55,FIM_Cognition&gt;23,FIM_Cognition&lt;32),"MATCH","###")</f>
        <v>###</v>
      </c>
      <c r="I13" s="3" t="s">
        <v>109</v>
      </c>
      <c r="J13" s="3" t="s">
        <v>89</v>
      </c>
      <c r="K13" s="3" t="s">
        <v>110</v>
      </c>
    </row>
    <row r="14" spans="2:11">
      <c r="B14" s="3">
        <v>2.12</v>
      </c>
      <c r="C14" s="3" t="str">
        <f t="shared" si="0"/>
        <v>2.12 - BrainDysfunction, Non traumatic, Anoxic brain damage</v>
      </c>
      <c r="D14" s="3" t="s">
        <v>420</v>
      </c>
      <c r="E14" s="3">
        <f t="shared" si="1"/>
        <v>2</v>
      </c>
      <c r="F14" s="3">
        <f t="shared" si="2"/>
        <v>1200.0000000000011</v>
      </c>
      <c r="H14" s="3" t="str">
        <f>IF(AND(RehabTypeValue=1,AssessOnlyValue&lt;&gt;1,AICmajor=2,FIMMotor&gt;55,FIM_Cognition&gt;19,FIM_Cognition&lt;24),"MATCH","###")</f>
        <v>###</v>
      </c>
      <c r="I14" s="3" t="s">
        <v>111</v>
      </c>
      <c r="J14" s="3" t="s">
        <v>89</v>
      </c>
      <c r="K14" s="3" t="s">
        <v>112</v>
      </c>
    </row>
    <row r="15" spans="2:11">
      <c r="B15" s="3">
        <v>2.13</v>
      </c>
      <c r="C15" s="3" t="str">
        <f t="shared" si="0"/>
        <v>2.13 - Other non‐traumatic brain dysfunction</v>
      </c>
      <c r="D15" s="3" t="s">
        <v>11</v>
      </c>
      <c r="E15" s="3">
        <f t="shared" si="1"/>
        <v>2</v>
      </c>
      <c r="F15" s="3">
        <f t="shared" si="2"/>
        <v>1299.9999999999989</v>
      </c>
      <c r="H15" s="3" t="str">
        <f>IF(AND(RehabTypeValue=1,AssessOnlyValue&lt;&gt;1,AICmajor=2,FIMMotor&gt;55,FIM_Cognition&lt;20),"MATCH","###")</f>
        <v>###</v>
      </c>
      <c r="I15" s="3" t="s">
        <v>113</v>
      </c>
      <c r="J15" s="3" t="s">
        <v>89</v>
      </c>
      <c r="K15" s="3" t="s">
        <v>114</v>
      </c>
    </row>
    <row r="16" spans="2:11">
      <c r="B16" s="3">
        <v>2.21</v>
      </c>
      <c r="C16" s="3" t="str">
        <f t="shared" si="0"/>
        <v>2.21 - BrainDysfunction, Traumatic, open injury</v>
      </c>
      <c r="D16" s="3" t="s">
        <v>12</v>
      </c>
      <c r="E16" s="3">
        <f t="shared" si="1"/>
        <v>2</v>
      </c>
      <c r="F16" s="3">
        <f t="shared" si="2"/>
        <v>2099.9999999999995</v>
      </c>
      <c r="H16" s="3" t="str">
        <f>IF(AND(RehabTypeValue=1,AssessOnlyValue&lt;&gt;1,AICmajor=2,FIMMotor&gt;23,FIMMotor&lt;56),"MATCH","###")</f>
        <v>###</v>
      </c>
      <c r="I16" s="3" t="s">
        <v>115</v>
      </c>
      <c r="J16" s="3" t="s">
        <v>89</v>
      </c>
      <c r="K16" s="3" t="s">
        <v>116</v>
      </c>
    </row>
    <row r="17" spans="2:11">
      <c r="B17" s="3">
        <v>2.2200000000000002</v>
      </c>
      <c r="C17" s="3" t="str">
        <f t="shared" si="0"/>
        <v>2.22 - BrainDysfunction, Traumatic, closed injury</v>
      </c>
      <c r="D17" s="3" t="s">
        <v>13</v>
      </c>
      <c r="E17" s="3">
        <f t="shared" si="1"/>
        <v>2</v>
      </c>
      <c r="F17" s="3">
        <f t="shared" si="2"/>
        <v>2200.0000000000018</v>
      </c>
      <c r="H17" s="3" t="str">
        <f>IF(AND(RehabTypeValue=1,AssessOnlyValue&lt;&gt;1,AICmajor=2,FIMMotor&gt;13,FIMMotor&lt;24),"MATCH","###")</f>
        <v>###</v>
      </c>
      <c r="I17" s="3" t="s">
        <v>117</v>
      </c>
      <c r="J17" s="3" t="s">
        <v>89</v>
      </c>
      <c r="K17" s="3" t="s">
        <v>118</v>
      </c>
    </row>
    <row r="18" spans="2:11">
      <c r="B18" s="3">
        <v>3.1</v>
      </c>
      <c r="C18" s="3" t="str">
        <f t="shared" si="0"/>
        <v>3.1 - Neurological conditions, Multiple sclerosis</v>
      </c>
      <c r="D18" s="3" t="s">
        <v>404</v>
      </c>
      <c r="E18" s="3">
        <f t="shared" si="1"/>
        <v>3</v>
      </c>
      <c r="F18" s="3">
        <f t="shared" si="2"/>
        <v>1000.0000000000009</v>
      </c>
      <c r="H18" s="3" t="str">
        <f>IF(AND(RehabTypeValue=1,AssessOnlyValue&lt;&gt;1,AICmajor=3,FIMMotor&gt;62),"MATCH","###")</f>
        <v>###</v>
      </c>
      <c r="I18" s="3" t="s">
        <v>119</v>
      </c>
      <c r="J18" s="3" t="s">
        <v>89</v>
      </c>
      <c r="K18" s="3" t="s">
        <v>120</v>
      </c>
    </row>
    <row r="19" spans="2:11">
      <c r="B19" s="3">
        <v>3.2</v>
      </c>
      <c r="C19" s="3" t="str">
        <f t="shared" ref="C19:C35" si="3">CONCATENATE(B19," - ",D19)</f>
        <v>3.2 - Neurological conditions, Parkinsonism</v>
      </c>
      <c r="D19" s="3" t="s">
        <v>14</v>
      </c>
      <c r="E19" s="3">
        <f t="shared" ref="E19:E35" si="4">ROUNDDOWN(B19,0)</f>
        <v>3</v>
      </c>
      <c r="F19" s="3">
        <f t="shared" ref="F19:F35" si="5">(B19-E19)*10000</f>
        <v>2000.0000000000018</v>
      </c>
      <c r="H19" s="3" t="str">
        <f>IF(AND(RehabTypeValue=1,AssessOnlyValue&lt;&gt;1,AICmajor=3,FIMMotor&gt;48,FIMMotor&lt;63),"MATCH","###")</f>
        <v>###</v>
      </c>
      <c r="I19" s="3" t="s">
        <v>121</v>
      </c>
      <c r="J19" s="3" t="s">
        <v>89</v>
      </c>
      <c r="K19" s="3" t="s">
        <v>122</v>
      </c>
    </row>
    <row r="20" spans="2:11">
      <c r="B20" s="3">
        <v>3.3</v>
      </c>
      <c r="C20" s="3" t="str">
        <f t="shared" si="3"/>
        <v>3.3 - Neurological conditions, Polyneuropathy</v>
      </c>
      <c r="D20" s="3" t="s">
        <v>15</v>
      </c>
      <c r="E20" s="3">
        <f t="shared" si="4"/>
        <v>3</v>
      </c>
      <c r="F20" s="3">
        <f t="shared" si="5"/>
        <v>2999.9999999999982</v>
      </c>
      <c r="H20" s="3" t="str">
        <f>IF(AND(RehabTypeValue=1,AssessOnlyValue&lt;&gt;1,AICmajor=3,FIMMotor&gt;17,FIMMotor&lt;49),"MATCH","###")</f>
        <v>###</v>
      </c>
      <c r="I20" s="3" t="s">
        <v>123</v>
      </c>
      <c r="J20" s="3" t="s">
        <v>89</v>
      </c>
      <c r="K20" s="3" t="s">
        <v>124</v>
      </c>
    </row>
    <row r="21" spans="2:11">
      <c r="B21" s="3">
        <v>3.4</v>
      </c>
      <c r="C21" s="3" t="str">
        <f t="shared" si="3"/>
        <v>3.4 - Neurological conditions, Guillian‐Barre</v>
      </c>
      <c r="D21" s="3" t="s">
        <v>422</v>
      </c>
      <c r="E21" s="3">
        <f t="shared" si="4"/>
        <v>3</v>
      </c>
      <c r="F21" s="3">
        <f t="shared" si="5"/>
        <v>3999.9999999999991</v>
      </c>
      <c r="H21" s="3" t="str">
        <f>IF(AND(RehabTypeValue=1,AssessOnlyValue&lt;&gt;1,AICmajor=3,FIMMotor&gt;13,FIMMotor&lt;18),"MATCH","###")</f>
        <v>###</v>
      </c>
      <c r="I21" s="3" t="s">
        <v>125</v>
      </c>
      <c r="J21" s="3" t="s">
        <v>89</v>
      </c>
      <c r="K21" s="3" t="s">
        <v>126</v>
      </c>
    </row>
    <row r="22" spans="2:11">
      <c r="B22" s="3">
        <v>3.5</v>
      </c>
      <c r="C22" s="3" t="str">
        <f t="shared" si="3"/>
        <v>3.5 - Neurological conditions, Cerebral palsy</v>
      </c>
      <c r="D22" s="3" t="s">
        <v>16</v>
      </c>
      <c r="E22" s="3">
        <f t="shared" si="4"/>
        <v>3</v>
      </c>
      <c r="F22" s="3">
        <f t="shared" si="5"/>
        <v>5000</v>
      </c>
      <c r="H22" s="3" t="str">
        <f>IF(AND(RehabTypeValue=1,AssessOnlyValue&lt;&gt;1,AICmajor=4,FIMMotor&gt;80),"MATCH","###")</f>
        <v>###</v>
      </c>
      <c r="I22" s="3" t="s">
        <v>127</v>
      </c>
      <c r="J22" s="3" t="s">
        <v>89</v>
      </c>
      <c r="K22" s="3" t="s">
        <v>128</v>
      </c>
    </row>
    <row r="23" spans="2:11">
      <c r="B23" s="3">
        <v>3.8</v>
      </c>
      <c r="C23" s="3" t="str">
        <f t="shared" si="3"/>
        <v>3.8 - Neurological conditions, Neuromuscular disorders</v>
      </c>
      <c r="D23" s="3" t="s">
        <v>423</v>
      </c>
      <c r="E23" s="3">
        <f t="shared" si="4"/>
        <v>3</v>
      </c>
      <c r="F23" s="3">
        <f t="shared" si="5"/>
        <v>7999.9999999999982</v>
      </c>
      <c r="H23" s="3" t="str">
        <f>IF(AND(RehabTypeValue=1,AssessOnlyValue&lt;&gt;1,AICmajor=4,FIMMotor&gt;46,FIMMotor&lt;81),"MATCH","###")</f>
        <v>###</v>
      </c>
      <c r="I23" s="3" t="s">
        <v>129</v>
      </c>
      <c r="J23" s="3" t="s">
        <v>89</v>
      </c>
      <c r="K23" s="3" t="s">
        <v>130</v>
      </c>
    </row>
    <row r="24" spans="2:11">
      <c r="B24" s="3">
        <v>3.9</v>
      </c>
      <c r="C24" s="3" t="str">
        <f t="shared" si="3"/>
        <v>3.9 - Other neurological conditions</v>
      </c>
      <c r="D24" s="3" t="s">
        <v>17</v>
      </c>
      <c r="E24" s="3">
        <f t="shared" si="4"/>
        <v>3</v>
      </c>
      <c r="F24" s="3">
        <f t="shared" si="5"/>
        <v>9000</v>
      </c>
      <c r="H24" s="3" t="str">
        <f>IF(AND(RehabTypeValue=1,AssessOnlyValue&lt;&gt;1,AICmajor=4,FIMMotor&gt;13,FIMMotor&lt;47,Age&gt;32),"MATCH","###")</f>
        <v>###</v>
      </c>
      <c r="I24" s="3" t="s">
        <v>131</v>
      </c>
      <c r="J24" s="3" t="s">
        <v>89</v>
      </c>
      <c r="K24" s="3" t="s">
        <v>132</v>
      </c>
    </row>
    <row r="25" spans="2:11">
      <c r="B25" s="3">
        <v>4.1109999999999998</v>
      </c>
      <c r="C25" s="3" t="str">
        <f t="shared" si="3"/>
        <v>4.111 - Spinal Cord Dysfunction, Non‐traumatic, Paraplegia, incomplete</v>
      </c>
      <c r="D25" s="3" t="s">
        <v>481</v>
      </c>
      <c r="E25" s="3">
        <f t="shared" si="4"/>
        <v>4</v>
      </c>
      <c r="F25" s="3">
        <f t="shared" si="5"/>
        <v>1109.9999999999977</v>
      </c>
      <c r="H25" s="3" t="str">
        <f>IF(AND(RehabTypeValue=1,AssessOnlyValue&lt;&gt;1,AICmajor=4,FIMMotor&gt;13,FIMMotor&lt;47,Age&lt;33),"MATCH","###")</f>
        <v>###</v>
      </c>
      <c r="I25" s="3" t="s">
        <v>133</v>
      </c>
      <c r="J25" s="3" t="s">
        <v>89</v>
      </c>
      <c r="K25" s="3" t="s">
        <v>134</v>
      </c>
    </row>
    <row r="26" spans="2:11">
      <c r="B26" s="3">
        <v>4.1120000000000001</v>
      </c>
      <c r="C26" s="3" t="str">
        <f t="shared" si="3"/>
        <v>4.112 - Spinal Cord Dysfunction, Non‐traumatic, Paraplegia, complete</v>
      </c>
      <c r="D26" s="3" t="s">
        <v>482</v>
      </c>
      <c r="E26" s="3">
        <f t="shared" si="4"/>
        <v>4</v>
      </c>
      <c r="F26" s="3">
        <f t="shared" si="5"/>
        <v>1120.0000000000009</v>
      </c>
      <c r="H26" s="3" t="str">
        <f>IF(AND(RehabTypeValue=1,AssessOnlyValue&lt;&gt;1,AICmajor=5,FIMMotor&gt;71),"MATCH","###")</f>
        <v>###</v>
      </c>
      <c r="I26" s="3" t="s">
        <v>135</v>
      </c>
      <c r="J26" s="3" t="s">
        <v>89</v>
      </c>
      <c r="K26" s="3" t="s">
        <v>136</v>
      </c>
    </row>
    <row r="27" spans="2:11">
      <c r="B27" s="3">
        <v>4.1211000000000002</v>
      </c>
      <c r="C27" s="3" t="str">
        <f t="shared" si="3"/>
        <v>4.1211 - Spinal Cord Dysfunction, Non‐traumatic, Quadriplegia incomplete C1‐4</v>
      </c>
      <c r="D27" s="3" t="s">
        <v>483</v>
      </c>
      <c r="E27" s="3">
        <f t="shared" si="4"/>
        <v>4</v>
      </c>
      <c r="F27" s="3">
        <f t="shared" si="5"/>
        <v>1211.000000000002</v>
      </c>
      <c r="H27" s="3" t="str">
        <f>IF(AND(RehabTypeValue=1,AssessOnlyValue&lt;&gt;1,AICmajor=5,FIMMotor&gt;13,FIMMotor&lt;72),"MATCH","###")</f>
        <v>###</v>
      </c>
      <c r="I27" s="3" t="s">
        <v>137</v>
      </c>
      <c r="J27" s="3" t="s">
        <v>89</v>
      </c>
      <c r="K27" s="3" t="s">
        <v>138</v>
      </c>
    </row>
    <row r="28" spans="2:11">
      <c r="B28" s="3">
        <v>4.1212</v>
      </c>
      <c r="C28" s="3" t="str">
        <f t="shared" si="3"/>
        <v>4.1212 - Spinal Cord Dysfunction, Non‐traumatic, Quadriplegia incomplete C5‐8</v>
      </c>
      <c r="D28" s="3" t="s">
        <v>484</v>
      </c>
      <c r="E28" s="3">
        <f t="shared" si="4"/>
        <v>4</v>
      </c>
      <c r="F28" s="3">
        <f t="shared" si="5"/>
        <v>1211.9999999999998</v>
      </c>
      <c r="H28" s="3" t="str">
        <f>IF(AND(RehabTypeValue=1,AssessOnlyValue&lt;&gt;1,AICmajor=7),"MATCH","###")</f>
        <v>###</v>
      </c>
      <c r="I28" s="3" t="s">
        <v>139</v>
      </c>
      <c r="J28" s="3" t="s">
        <v>89</v>
      </c>
      <c r="K28" s="3" t="s">
        <v>140</v>
      </c>
    </row>
    <row r="29" spans="2:11">
      <c r="B29" s="3">
        <v>4.1220999999999997</v>
      </c>
      <c r="C29" s="3" t="str">
        <f t="shared" si="3"/>
        <v>4.1221 - Spinal Cord Dysfunction, Non‐traumatic, Quadriplegia complete C1‐4</v>
      </c>
      <c r="D29" s="3" t="s">
        <v>485</v>
      </c>
      <c r="E29" s="3">
        <f t="shared" si="4"/>
        <v>4</v>
      </c>
      <c r="F29" s="3">
        <f t="shared" si="5"/>
        <v>1220.9999999999966</v>
      </c>
      <c r="H29" s="3" t="str">
        <f>IF(AND(RehabTypeValue=1,AssessOnlyValue&lt;&gt;1,AICmajor=8,AICminor&lt;2000,FIMMotor&gt;57),"MATCH","###")</f>
        <v>###</v>
      </c>
      <c r="I29" s="3" t="s">
        <v>141</v>
      </c>
      <c r="J29" s="3" t="s">
        <v>89</v>
      </c>
      <c r="K29" s="3" t="s">
        <v>142</v>
      </c>
    </row>
    <row r="30" spans="2:11">
      <c r="B30" s="3">
        <v>4.1222000000000003</v>
      </c>
      <c r="C30" s="3" t="str">
        <f t="shared" si="3"/>
        <v>4.1222 - Spinal Cord Dysfunction, Non‐traumatic, Quadriplegia complete C5‐8</v>
      </c>
      <c r="D30" s="3" t="s">
        <v>486</v>
      </c>
      <c r="E30" s="3">
        <f t="shared" si="4"/>
        <v>4</v>
      </c>
      <c r="F30" s="3">
        <f t="shared" si="5"/>
        <v>1222.0000000000032</v>
      </c>
      <c r="H30" s="3" t="str">
        <f>IF(AND(RehabTypeValue=1,AssessOnlyValue&lt;&gt;1,AICmajor=8,AICminor&lt;2000,FIMMotor&gt;47,FIMMotor&lt;58),"MATCH","###")</f>
        <v>###</v>
      </c>
      <c r="I30" s="3" t="s">
        <v>143</v>
      </c>
      <c r="J30" s="3" t="s">
        <v>89</v>
      </c>
      <c r="K30" s="3" t="s">
        <v>144</v>
      </c>
    </row>
    <row r="31" spans="2:11">
      <c r="B31" s="3">
        <v>4.13</v>
      </c>
      <c r="C31" s="3" t="str">
        <f t="shared" si="3"/>
        <v>4.13 - Other non‐traumatic spinal cord dysfunction</v>
      </c>
      <c r="D31" s="3" t="s">
        <v>18</v>
      </c>
      <c r="E31" s="3">
        <f t="shared" si="4"/>
        <v>4</v>
      </c>
      <c r="F31" s="3">
        <f t="shared" si="5"/>
        <v>1299.9999999999989</v>
      </c>
      <c r="H31" s="3" t="str">
        <f>IF(AND(RehabTypeValue=1,AssessOnlyValue&lt;&gt;1,AICmajor=8,AICminor&lt;2000,FIMMotor&gt;13,FIMMotor&lt;48,FIM_Cognition&gt;18),"MATCH","###")</f>
        <v>###</v>
      </c>
      <c r="I31" s="3" t="s">
        <v>145</v>
      </c>
      <c r="J31" s="3" t="s">
        <v>89</v>
      </c>
      <c r="K31" s="3" t="s">
        <v>146</v>
      </c>
    </row>
    <row r="32" spans="2:11">
      <c r="B32" s="3">
        <v>4.2110000000000003</v>
      </c>
      <c r="C32" s="3" t="str">
        <f t="shared" si="3"/>
        <v>4.211 - Spinal Cord Dysfunction, Traumatic, Paraplegia, incomplete</v>
      </c>
      <c r="D32" s="3" t="s">
        <v>487</v>
      </c>
      <c r="E32" s="3">
        <f t="shared" si="4"/>
        <v>4</v>
      </c>
      <c r="F32" s="3">
        <f t="shared" si="5"/>
        <v>2110.0000000000032</v>
      </c>
      <c r="H32" s="3" t="str">
        <f>IF(AND(RehabTypeValue=1,AssessOnlyValue&lt;&gt;1,AICmajor=8,AICminor&lt;2000,FIMMotor&gt;13,FIMMotor&lt;48,FIM_Cognition&lt;19),"MATCH","###")</f>
        <v>###</v>
      </c>
      <c r="I32" s="3" t="s">
        <v>147</v>
      </c>
      <c r="J32" s="3" t="s">
        <v>89</v>
      </c>
      <c r="K32" s="3" t="s">
        <v>148</v>
      </c>
    </row>
    <row r="33" spans="2:11">
      <c r="B33" s="3">
        <v>4.2119999999999997</v>
      </c>
      <c r="C33" s="3" t="str">
        <f t="shared" si="3"/>
        <v>4.212 - Spinal Cord Dysfunction, Traumatic, Paraplegia, complete</v>
      </c>
      <c r="D33" s="3" t="s">
        <v>488</v>
      </c>
      <c r="E33" s="3">
        <f t="shared" si="4"/>
        <v>4</v>
      </c>
      <c r="F33" s="3">
        <f t="shared" si="5"/>
        <v>2119.9999999999973</v>
      </c>
      <c r="H33" s="3" t="str">
        <f>IF(AND(RehabTypeValue=1,AssessOnlyValue&lt;&gt;1,AICmajor=8,AICminor&gt;2000,AICminor&lt;2500,FIMMotor&gt;71),"MATCH","###")</f>
        <v>###</v>
      </c>
      <c r="I33" s="3" t="s">
        <v>149</v>
      </c>
      <c r="J33" s="3" t="s">
        <v>89</v>
      </c>
      <c r="K33" s="3" t="s">
        <v>150</v>
      </c>
    </row>
    <row r="34" spans="2:11">
      <c r="B34" s="3">
        <v>4.2210999999999999</v>
      </c>
      <c r="C34" s="3" t="str">
        <f t="shared" si="3"/>
        <v>4.2211 - Spinal Cord Dysfunction, Traumatic, Quadriplegia incomplete C1‐4</v>
      </c>
      <c r="D34" s="3" t="s">
        <v>489</v>
      </c>
      <c r="E34" s="3">
        <f t="shared" si="4"/>
        <v>4</v>
      </c>
      <c r="F34" s="3">
        <f t="shared" si="5"/>
        <v>2210.9999999999986</v>
      </c>
      <c r="H34" s="3" t="str">
        <f>IF(AND(RehabTypeValue=1,AssessOnlyValue&lt;&gt;1,AICmajor=8,AICminor&gt;2000,AICminor&lt;2500,FIMMotor&gt;48,FIMMotor&lt;72),"MATCH","###")</f>
        <v>###</v>
      </c>
      <c r="I34" s="3" t="s">
        <v>151</v>
      </c>
      <c r="J34" s="3" t="s">
        <v>89</v>
      </c>
      <c r="K34" s="3" t="s">
        <v>152</v>
      </c>
    </row>
    <row r="35" spans="2:11">
      <c r="B35" s="3">
        <v>4.2211999999999996</v>
      </c>
      <c r="C35" s="3" t="str">
        <f t="shared" si="3"/>
        <v>4.2212 - Spinal Cord Dysfunction, Traumatic, Quadriplegia incomplete C5‐8</v>
      </c>
      <c r="D35" s="3" t="s">
        <v>490</v>
      </c>
      <c r="E35" s="3">
        <f t="shared" si="4"/>
        <v>4</v>
      </c>
      <c r="F35" s="3">
        <f t="shared" si="5"/>
        <v>2211.9999999999964</v>
      </c>
      <c r="H35" s="3" t="str">
        <f>IF(AND(RehabTypeValue=1,AssessOnlyValue&lt;&gt;1,AICmajor=8,AICminor&gt;2000,AICminor&lt;2500,FIMMotor&gt;13,FIMMotor&lt;49),"MATCH","###")</f>
        <v>###</v>
      </c>
      <c r="I35" s="3" t="s">
        <v>153</v>
      </c>
      <c r="J35" s="3" t="s">
        <v>89</v>
      </c>
      <c r="K35" s="3" t="s">
        <v>154</v>
      </c>
    </row>
    <row r="36" spans="2:11">
      <c r="B36" s="3">
        <v>4.2221000000000002</v>
      </c>
      <c r="C36" s="3" t="str">
        <f t="shared" ref="C36:C45" si="6">CONCATENATE(B36," - ",D36)</f>
        <v>4.2221 - Spinal Cord Dysfunction, Traumatic, Quadriplegia complete C1‐4</v>
      </c>
      <c r="D36" s="3" t="s">
        <v>491</v>
      </c>
      <c r="E36" s="3">
        <f t="shared" ref="E36:E45" si="7">ROUNDDOWN(B36,0)</f>
        <v>4</v>
      </c>
      <c r="F36" s="3">
        <f t="shared" ref="F36:F45" si="8">(B36-E36)*10000</f>
        <v>2221.0000000000018</v>
      </c>
      <c r="H36" s="3" t="str">
        <f>IF(AND(RehabTypeValue=1,AssessOnlyValue&lt;&gt;1,AICmajor=8,AICminor&gt;2400,FIMMotor&gt;67),"MATCH","###")</f>
        <v>###</v>
      </c>
      <c r="I36" s="3" t="s">
        <v>155</v>
      </c>
      <c r="J36" s="3" t="s">
        <v>89</v>
      </c>
      <c r="K36" s="3" t="s">
        <v>156</v>
      </c>
    </row>
    <row r="37" spans="2:11">
      <c r="B37" s="3">
        <v>4.2222</v>
      </c>
      <c r="C37" s="3" t="str">
        <f t="shared" si="6"/>
        <v>4.2222 - Spinal Cord Dysfunction, Traumatic, Quadriplegia complete C5‐8</v>
      </c>
      <c r="D37" s="3" t="s">
        <v>492</v>
      </c>
      <c r="E37" s="3">
        <f t="shared" si="7"/>
        <v>4</v>
      </c>
      <c r="F37" s="3">
        <f t="shared" si="8"/>
        <v>2221.9999999999995</v>
      </c>
      <c r="H37" s="3" t="str">
        <f>IF(AND(RehabTypeValue=1,AssessOnlyValue&lt;&gt;1,AICmajor=8,AICminor&gt;2400,FIMMotor&gt;52,FIMMotor&lt;68),"MATCH","###")</f>
        <v>###</v>
      </c>
      <c r="I37" s="3" t="s">
        <v>157</v>
      </c>
      <c r="J37" s="3" t="s">
        <v>89</v>
      </c>
      <c r="K37" s="3" t="s">
        <v>158</v>
      </c>
    </row>
    <row r="38" spans="2:11">
      <c r="B38" s="3">
        <v>4.2300000000000004</v>
      </c>
      <c r="C38" s="3" t="str">
        <f t="shared" si="6"/>
        <v>4.23 - Othertraumatic spinal cord dysfunction</v>
      </c>
      <c r="D38" s="3" t="s">
        <v>21</v>
      </c>
      <c r="E38" s="3">
        <f t="shared" si="7"/>
        <v>4</v>
      </c>
      <c r="F38" s="3">
        <f t="shared" si="8"/>
        <v>2300.0000000000041</v>
      </c>
      <c r="H38" s="3" t="str">
        <f>IF(AND(RehabTypeValue=1,AssessOnlyValue&lt;&gt;1,AICmajor=8,AICminor&gt;2400,FIMMotor&gt;13,FIMMotor&lt;53),"MATCH","###")</f>
        <v>###</v>
      </c>
      <c r="I38" s="3" t="s">
        <v>159</v>
      </c>
      <c r="J38" s="3" t="s">
        <v>89</v>
      </c>
      <c r="K38" s="3" t="s">
        <v>160</v>
      </c>
    </row>
    <row r="39" spans="2:11">
      <c r="B39" s="3">
        <v>5.1100000000000003</v>
      </c>
      <c r="C39" s="3" t="str">
        <f t="shared" si="6"/>
        <v>5.11 - Amputation of Limb, Non traumatic, Single upper amputation above the elbow</v>
      </c>
      <c r="D39" s="3" t="s">
        <v>434</v>
      </c>
      <c r="E39" s="3">
        <f t="shared" si="7"/>
        <v>5</v>
      </c>
      <c r="F39" s="3">
        <f t="shared" si="8"/>
        <v>1100.0000000000032</v>
      </c>
      <c r="H39" s="3" t="str">
        <f>IF(AND(RehabTypeValue=1,AssessOnlyValue&lt;&gt;1,AICmajor=9,FIMMotor&gt;13),"MATCH","###")</f>
        <v>###</v>
      </c>
      <c r="I39" s="3" t="s">
        <v>161</v>
      </c>
      <c r="J39" s="3" t="s">
        <v>89</v>
      </c>
      <c r="K39" s="3" t="s">
        <v>162</v>
      </c>
    </row>
    <row r="40" spans="2:11">
      <c r="B40" s="3">
        <v>5.12</v>
      </c>
      <c r="C40" s="3" t="str">
        <f t="shared" si="6"/>
        <v>5.12 - Amputation of Limb, Non traumatic, Single upper amputation below the elbow</v>
      </c>
      <c r="D40" s="3" t="s">
        <v>435</v>
      </c>
      <c r="E40" s="3">
        <f t="shared" si="7"/>
        <v>5</v>
      </c>
      <c r="F40" s="3">
        <f t="shared" si="8"/>
        <v>1200.0000000000011</v>
      </c>
      <c r="H40" s="3" t="str">
        <f>IF(AND(RehabTypeValue=1,AssessOnlyValue&lt;&gt;1,AICmajor=14,FIM_Total&gt;100),"MATCH","###")</f>
        <v>###</v>
      </c>
      <c r="I40" s="3" t="s">
        <v>163</v>
      </c>
      <c r="J40" s="3" t="s">
        <v>89</v>
      </c>
      <c r="K40" s="3" t="s">
        <v>164</v>
      </c>
    </row>
    <row r="41" spans="2:11">
      <c r="B41" s="3">
        <v>5.13</v>
      </c>
      <c r="C41" s="3" t="str">
        <f t="shared" si="6"/>
        <v>5.13 - Amputation of Limb, Non traumatic, Single lower amputation above the knee</v>
      </c>
      <c r="D41" s="3" t="s">
        <v>436</v>
      </c>
      <c r="E41" s="3">
        <f t="shared" si="7"/>
        <v>5</v>
      </c>
      <c r="F41" s="3">
        <f t="shared" si="8"/>
        <v>1299.9999999999989</v>
      </c>
      <c r="H41" s="3" t="str">
        <f>IF(AND(RehabTypeValue=1,AssessOnlyValue&lt;&gt;1,(OR(AND(AICmajor=14,FIM_Total&gt;73,FIM_Total&lt;101),AICmajor=11))),"MATCH","###")</f>
        <v>###</v>
      </c>
      <c r="I41" s="3" t="s">
        <v>165</v>
      </c>
      <c r="J41" s="3" t="s">
        <v>89</v>
      </c>
      <c r="K41" s="3" t="s">
        <v>166</v>
      </c>
    </row>
    <row r="42" spans="2:11">
      <c r="B42" s="3">
        <v>5.14</v>
      </c>
      <c r="C42" s="3" t="str">
        <f t="shared" si="6"/>
        <v>5.14 - Amputation of Limb, Non traumatic, Single lower amputation below the knee</v>
      </c>
      <c r="D42" s="3" t="s">
        <v>437</v>
      </c>
      <c r="E42" s="3">
        <f t="shared" si="7"/>
        <v>5</v>
      </c>
      <c r="F42" s="3">
        <f t="shared" si="8"/>
        <v>1399.9999999999968</v>
      </c>
      <c r="H42" s="3" t="str">
        <f>IF(AND(RehabTypeValue=1,AssessOnlyValue&lt;&gt;1,AICmajor=14,FIM_Total&gt;43,FIM_Total&lt;74),"MATCH","###")</f>
        <v>###</v>
      </c>
      <c r="I42" s="3" t="s">
        <v>167</v>
      </c>
      <c r="J42" s="3" t="s">
        <v>89</v>
      </c>
      <c r="K42" s="3" t="s">
        <v>168</v>
      </c>
    </row>
    <row r="43" spans="2:11">
      <c r="B43" s="3">
        <v>5.15</v>
      </c>
      <c r="C43" s="3" t="str">
        <f t="shared" si="6"/>
        <v>5.15 - Amputation of Limb, Non traumatic, Double lower amputation above the knee</v>
      </c>
      <c r="D43" s="3" t="s">
        <v>438</v>
      </c>
      <c r="E43" s="3">
        <f t="shared" si="7"/>
        <v>5</v>
      </c>
      <c r="F43" s="3">
        <f t="shared" si="8"/>
        <v>1500.0000000000036</v>
      </c>
      <c r="H43" s="3" t="str">
        <f>IF(AND(RehabTypeValue=1,AssessOnlyValue&lt;&gt;1,AICmajor=14,FIM_Total&gt;18,FIM_Total&lt;44),"MATCH","###")</f>
        <v>###</v>
      </c>
      <c r="I43" s="3" t="s">
        <v>169</v>
      </c>
      <c r="J43" s="3" t="s">
        <v>89</v>
      </c>
      <c r="K43" s="3" t="s">
        <v>170</v>
      </c>
    </row>
    <row r="44" spans="2:11">
      <c r="B44" s="3">
        <v>5.16</v>
      </c>
      <c r="C44" s="3" t="str">
        <f t="shared" si="6"/>
        <v>5.16 - Amputation of Limb, Non traumatic, Double lower amputation above/below the knee</v>
      </c>
      <c r="D44" s="3" t="s">
        <v>439</v>
      </c>
      <c r="E44" s="3">
        <f t="shared" si="7"/>
        <v>5</v>
      </c>
      <c r="F44" s="3">
        <f t="shared" si="8"/>
        <v>1600.0000000000014</v>
      </c>
      <c r="H44" s="3" t="str">
        <f>IF(AND(RehabTypeValue=1,AssessOnlyValue&lt;&gt;1,OR(AICmajor=6,AICmajor=12,AICmajor=13,AICmajor=15,AICmajor=16,AICmajor=10,AICmajor=18),FIMMotor&gt;66),"MATCH","###")</f>
        <v>###</v>
      </c>
      <c r="I44" s="3" t="s">
        <v>171</v>
      </c>
      <c r="J44" s="3" t="s">
        <v>89</v>
      </c>
      <c r="K44" s="3" t="s">
        <v>172</v>
      </c>
    </row>
    <row r="45" spans="2:11">
      <c r="B45" s="3">
        <v>5.17</v>
      </c>
      <c r="C45" s="3" t="str">
        <f t="shared" si="6"/>
        <v>5.17 - Amputation of Limb, Non traumatic, Double lower amputation below the knee</v>
      </c>
      <c r="D45" s="3" t="s">
        <v>405</v>
      </c>
      <c r="E45" s="3">
        <f t="shared" si="7"/>
        <v>5</v>
      </c>
      <c r="F45" s="3">
        <f t="shared" si="8"/>
        <v>1699.9999999999993</v>
      </c>
      <c r="H45" s="3" t="str">
        <f>IF(AND(RehabTypeValue=1,AssessOnlyValue&lt;&gt;1,OR(AICmajor=6,AICmajor=12,AICmajor=13,AICmajor=15,AICmajor=16,AICmajor=10,AICmajor=18),FIMMotor&gt;52,FIMMotor&lt;67),"MATCH","###")</f>
        <v>###</v>
      </c>
      <c r="I45" s="3" t="s">
        <v>173</v>
      </c>
      <c r="J45" s="3" t="s">
        <v>89</v>
      </c>
      <c r="K45" s="3" t="s">
        <v>174</v>
      </c>
    </row>
    <row r="46" spans="2:11">
      <c r="B46" s="3">
        <v>5.18</v>
      </c>
      <c r="C46" s="3" t="str">
        <f t="shared" ref="C46:C68" si="9">CONCATENATE(B46," - ",D46)</f>
        <v>5.18 - Amputation of Limb, Non traumatic, Partial foot amputation (includes single/double)</v>
      </c>
      <c r="D46" s="3" t="s">
        <v>445</v>
      </c>
      <c r="E46" s="3">
        <f t="shared" ref="E46:E68" si="10">ROUNDDOWN(B46,0)</f>
        <v>5</v>
      </c>
      <c r="F46" s="3">
        <f t="shared" ref="F46:F68" si="11">(B46-E46)*10000</f>
        <v>1799.9999999999973</v>
      </c>
      <c r="H46" s="3" t="str">
        <f>IF(AND(RehabTypeValue=1,AssessOnlyValue&lt;&gt;1,OR(AICmajor=6,AICmajor=12,AICmajor=13,AICmajor=15,AICmajor=16,AICmajor=10,AICmajor=18),FIMMotor&gt;24,FIMMotor&lt;53),"MATCH","###")</f>
        <v>###</v>
      </c>
      <c r="I46" s="3" t="s">
        <v>175</v>
      </c>
      <c r="J46" s="3" t="s">
        <v>89</v>
      </c>
      <c r="K46" s="3" t="s">
        <v>176</v>
      </c>
    </row>
    <row r="47" spans="2:11">
      <c r="B47" s="3">
        <v>5.19</v>
      </c>
      <c r="C47" s="3" t="str">
        <f t="shared" si="9"/>
        <v>5.19 - Other non‐traumatic amputation</v>
      </c>
      <c r="D47" s="3" t="s">
        <v>22</v>
      </c>
      <c r="E47" s="3">
        <f t="shared" si="10"/>
        <v>5</v>
      </c>
      <c r="F47" s="3">
        <f t="shared" si="11"/>
        <v>1900.0000000000039</v>
      </c>
      <c r="H47" s="3" t="str">
        <f>IF(AND(RehabTypeValue=1,AssessOnlyValue&lt;&gt;1,OR(AICmajor=6,AICmajor=12,AICmajor=13,AICmajor=15,AICmajor=16,AICmajor=10,AICmajor=18),FIMMotor&gt;13,FIMMotor&lt;25),"MATCH","###")</f>
        <v>###</v>
      </c>
      <c r="I47" s="3" t="s">
        <v>177</v>
      </c>
      <c r="J47" s="3" t="s">
        <v>89</v>
      </c>
      <c r="K47" s="3" t="s">
        <v>178</v>
      </c>
    </row>
    <row r="48" spans="2:11">
      <c r="B48" s="3">
        <v>5.21</v>
      </c>
      <c r="C48" s="3" t="str">
        <f t="shared" si="9"/>
        <v>5.21 - Amputation of Limb, Traumatic, Single upper amputation above the elbow</v>
      </c>
      <c r="D48" s="3" t="s">
        <v>23</v>
      </c>
      <c r="E48" s="3">
        <f t="shared" si="10"/>
        <v>5</v>
      </c>
      <c r="F48" s="3">
        <f t="shared" si="11"/>
        <v>2099.9999999999995</v>
      </c>
      <c r="H48" s="3" t="str">
        <f>IF(AND(RehabTypeValue=2,OR(AICmajor=2,AICmajor=14,AICmajor=10)),"MATCH","###")</f>
        <v>###</v>
      </c>
      <c r="I48" s="3" t="s">
        <v>179</v>
      </c>
      <c r="J48" s="3" t="s">
        <v>180</v>
      </c>
      <c r="K48" s="3" t="s">
        <v>181</v>
      </c>
    </row>
    <row r="49" spans="2:11">
      <c r="B49" s="3">
        <v>5.22</v>
      </c>
      <c r="C49" s="3" t="str">
        <f t="shared" si="9"/>
        <v>5.22 - Amputation of Limb, Traumatic, Single upper amputation below the elbow</v>
      </c>
      <c r="D49" s="3" t="s">
        <v>24</v>
      </c>
      <c r="E49" s="3">
        <f t="shared" si="10"/>
        <v>5</v>
      </c>
      <c r="F49" s="3">
        <f t="shared" si="11"/>
        <v>2199.9999999999977</v>
      </c>
      <c r="H49" s="3" t="str">
        <f>IF(AND(RehabTypeValue=2,OR(AICmajor=11,AICmajor=7,AICmajor=4,AICmajor=3)),"MATCH","###")</f>
        <v>###</v>
      </c>
      <c r="I49" s="3" t="s">
        <v>182</v>
      </c>
      <c r="J49" s="3" t="s">
        <v>180</v>
      </c>
      <c r="K49" s="3" t="s">
        <v>183</v>
      </c>
    </row>
    <row r="50" spans="2:11">
      <c r="B50" s="3">
        <v>5.23</v>
      </c>
      <c r="C50" s="3" t="str">
        <f t="shared" si="9"/>
        <v>5.23 - Amputation of Limb, Traumatic, Single lower amputation above the knee</v>
      </c>
      <c r="D50" s="3" t="s">
        <v>25</v>
      </c>
      <c r="E50" s="3">
        <f t="shared" si="10"/>
        <v>5</v>
      </c>
      <c r="F50" s="3">
        <f t="shared" si="11"/>
        <v>2300.0000000000041</v>
      </c>
      <c r="H50" s="3" t="str">
        <f>IF(AND(RehabTypeValue=2,OR(AICmajor=1,AICmajor=5,AICmajor=6,AICmajor=8,AICmajor=9,AICmajor=12,AICmajor=13,AICmajor=15,AICmajor=16)),"MATCH","###")</f>
        <v>###</v>
      </c>
      <c r="I50" s="3" t="s">
        <v>184</v>
      </c>
      <c r="J50" s="3" t="s">
        <v>180</v>
      </c>
      <c r="K50" s="3" t="s">
        <v>185</v>
      </c>
    </row>
    <row r="51" spans="2:11">
      <c r="B51" s="3">
        <v>5.24</v>
      </c>
      <c r="C51" s="3" t="str">
        <f t="shared" si="9"/>
        <v>5.24 - Amputation of Limb, Traumatic, Single lower amputation below the knee</v>
      </c>
      <c r="D51" s="3" t="s">
        <v>26</v>
      </c>
      <c r="E51" s="3">
        <f t="shared" si="10"/>
        <v>5</v>
      </c>
      <c r="F51" s="3">
        <f t="shared" si="11"/>
        <v>2400.0000000000023</v>
      </c>
      <c r="I51" s="3" t="s">
        <v>186</v>
      </c>
      <c r="J51" s="3" t="s">
        <v>187</v>
      </c>
      <c r="K51" s="3" t="s">
        <v>188</v>
      </c>
    </row>
    <row r="52" spans="2:11">
      <c r="B52" s="3">
        <v>5.25</v>
      </c>
      <c r="C52" s="3" t="str">
        <f t="shared" si="9"/>
        <v>5.25 - Amputation of Limb, Traumatic, Double lower amputation above the knee</v>
      </c>
      <c r="D52" s="3" t="s">
        <v>440</v>
      </c>
      <c r="E52" s="3">
        <f t="shared" si="10"/>
        <v>5</v>
      </c>
      <c r="F52" s="3">
        <f t="shared" si="11"/>
        <v>2500</v>
      </c>
      <c r="I52" s="3" t="s">
        <v>189</v>
      </c>
      <c r="J52" s="3" t="s">
        <v>187</v>
      </c>
      <c r="K52" s="3" t="s">
        <v>190</v>
      </c>
    </row>
    <row r="53" spans="2:11">
      <c r="B53" s="3">
        <v>5.26</v>
      </c>
      <c r="C53" s="3" t="str">
        <f t="shared" si="9"/>
        <v>5.26 - Amputation of Limb, Traumatic, Double lower amputation above/below the knee</v>
      </c>
      <c r="D53" s="3" t="s">
        <v>441</v>
      </c>
      <c r="E53" s="3">
        <f t="shared" si="10"/>
        <v>5</v>
      </c>
      <c r="F53" s="3">
        <f t="shared" si="11"/>
        <v>2599.9999999999977</v>
      </c>
      <c r="I53" s="3" t="s">
        <v>191</v>
      </c>
      <c r="J53" s="3" t="s">
        <v>187</v>
      </c>
      <c r="K53" s="3" t="s">
        <v>192</v>
      </c>
    </row>
    <row r="54" spans="2:11">
      <c r="B54" s="3">
        <v>5.27</v>
      </c>
      <c r="C54" s="3" t="str">
        <f t="shared" si="9"/>
        <v>5.27 - Amputation of Limb, Traumatic, Double lower amputation below the knee</v>
      </c>
      <c r="D54" s="3" t="s">
        <v>442</v>
      </c>
      <c r="E54" s="3">
        <f t="shared" si="10"/>
        <v>5</v>
      </c>
      <c r="F54" s="3">
        <f t="shared" si="11"/>
        <v>2699.9999999999959</v>
      </c>
      <c r="I54" s="3" t="s">
        <v>193</v>
      </c>
      <c r="J54" s="3" t="s">
        <v>187</v>
      </c>
      <c r="K54" s="3" t="s">
        <v>194</v>
      </c>
    </row>
    <row r="55" spans="2:11">
      <c r="B55" s="3">
        <v>5.28</v>
      </c>
      <c r="C55" s="3" t="str">
        <f t="shared" si="9"/>
        <v>5.28 - Amputation of Limb, Traumatic, Partial foot amputation (includes single/double)</v>
      </c>
      <c r="D55" s="3" t="s">
        <v>444</v>
      </c>
      <c r="E55" s="3">
        <f t="shared" si="10"/>
        <v>5</v>
      </c>
      <c r="F55" s="3">
        <f t="shared" si="11"/>
        <v>2800.0000000000023</v>
      </c>
      <c r="I55" s="3" t="s">
        <v>195</v>
      </c>
      <c r="J55" s="3" t="s">
        <v>187</v>
      </c>
      <c r="K55" s="3" t="s">
        <v>196</v>
      </c>
    </row>
    <row r="56" spans="2:11">
      <c r="B56" s="3">
        <v>5.29</v>
      </c>
      <c r="C56" s="3" t="str">
        <f t="shared" si="9"/>
        <v>5.29 - Othertraumatic amputation</v>
      </c>
      <c r="D56" s="3" t="s">
        <v>27</v>
      </c>
      <c r="E56" s="3">
        <f t="shared" si="10"/>
        <v>5</v>
      </c>
      <c r="F56" s="3">
        <f t="shared" si="11"/>
        <v>2900.0000000000005</v>
      </c>
      <c r="I56" s="3" t="s">
        <v>197</v>
      </c>
      <c r="J56" s="3" t="s">
        <v>187</v>
      </c>
      <c r="K56" s="3" t="s">
        <v>198</v>
      </c>
    </row>
    <row r="57" spans="2:11">
      <c r="B57" s="3">
        <v>6.1</v>
      </c>
      <c r="C57" s="3" t="str">
        <f t="shared" si="9"/>
        <v>6.1 - Arthritis, Rheumatoid arthritis</v>
      </c>
      <c r="D57" s="3" t="s">
        <v>28</v>
      </c>
      <c r="E57" s="3">
        <f t="shared" si="10"/>
        <v>6</v>
      </c>
      <c r="F57" s="3">
        <f t="shared" si="11"/>
        <v>999.99999999999648</v>
      </c>
      <c r="I57" s="3" t="s">
        <v>199</v>
      </c>
      <c r="J57" s="3" t="s">
        <v>187</v>
      </c>
      <c r="K57" s="3" t="s">
        <v>200</v>
      </c>
    </row>
    <row r="58" spans="2:11">
      <c r="B58" s="3">
        <v>6.2</v>
      </c>
      <c r="C58" s="3" t="str">
        <f t="shared" si="9"/>
        <v>6.2 - Arthritis, Osteoarthritis</v>
      </c>
      <c r="D58" s="3" t="s">
        <v>443</v>
      </c>
      <c r="E58" s="3">
        <f t="shared" si="10"/>
        <v>6</v>
      </c>
      <c r="F58" s="3">
        <f t="shared" si="11"/>
        <v>2000.0000000000018</v>
      </c>
      <c r="I58" s="3" t="s">
        <v>201</v>
      </c>
      <c r="J58" s="3" t="s">
        <v>187</v>
      </c>
      <c r="K58" s="3" t="s">
        <v>202</v>
      </c>
    </row>
    <row r="59" spans="2:11">
      <c r="B59" s="3">
        <v>6.9</v>
      </c>
      <c r="C59" s="3" t="str">
        <f t="shared" si="9"/>
        <v>6.9 - Other arthritis</v>
      </c>
      <c r="D59" s="3" t="s">
        <v>29</v>
      </c>
      <c r="E59" s="3">
        <f t="shared" si="10"/>
        <v>6</v>
      </c>
      <c r="F59" s="3">
        <f t="shared" si="11"/>
        <v>9000.0000000000036</v>
      </c>
      <c r="I59" s="3" t="s">
        <v>203</v>
      </c>
      <c r="J59" s="3" t="s">
        <v>187</v>
      </c>
      <c r="K59" s="3" t="s">
        <v>204</v>
      </c>
    </row>
    <row r="60" spans="2:11">
      <c r="B60" s="3">
        <v>7.1</v>
      </c>
      <c r="C60" s="3" t="str">
        <f t="shared" si="9"/>
        <v>7.1 - Pain, Neck pain</v>
      </c>
      <c r="D60" s="3" t="s">
        <v>446</v>
      </c>
      <c r="E60" s="3">
        <f t="shared" si="10"/>
        <v>7</v>
      </c>
      <c r="F60" s="3">
        <f t="shared" si="11"/>
        <v>999.99999999999648</v>
      </c>
      <c r="I60" s="3" t="s">
        <v>205</v>
      </c>
      <c r="J60" s="3" t="s">
        <v>187</v>
      </c>
      <c r="K60" s="3" t="s">
        <v>206</v>
      </c>
    </row>
    <row r="61" spans="2:11">
      <c r="B61" s="3">
        <v>7.2</v>
      </c>
      <c r="C61" s="3" t="str">
        <f t="shared" si="9"/>
        <v>7.2 - Pain, Back pain</v>
      </c>
      <c r="D61" s="3" t="s">
        <v>30</v>
      </c>
      <c r="E61" s="3">
        <f t="shared" si="10"/>
        <v>7</v>
      </c>
      <c r="F61" s="3">
        <f t="shared" si="11"/>
        <v>2000.0000000000018</v>
      </c>
      <c r="I61" s="3" t="s">
        <v>207</v>
      </c>
      <c r="J61" s="3" t="s">
        <v>187</v>
      </c>
      <c r="K61" s="3" t="s">
        <v>208</v>
      </c>
    </row>
    <row r="62" spans="2:11">
      <c r="B62" s="3">
        <v>7.3</v>
      </c>
      <c r="C62" s="3" t="str">
        <f t="shared" si="9"/>
        <v>7.3 - Pain, Extremity pain</v>
      </c>
      <c r="D62" s="3" t="s">
        <v>31</v>
      </c>
      <c r="E62" s="3">
        <f t="shared" si="10"/>
        <v>7</v>
      </c>
      <c r="F62" s="3">
        <f t="shared" si="11"/>
        <v>2999.9999999999982</v>
      </c>
      <c r="I62" s="3" t="s">
        <v>209</v>
      </c>
      <c r="J62" s="3" t="s">
        <v>187</v>
      </c>
      <c r="K62" s="3" t="s">
        <v>210</v>
      </c>
    </row>
    <row r="63" spans="2:11">
      <c r="B63" s="3">
        <v>7.4</v>
      </c>
      <c r="C63" s="3" t="str">
        <f t="shared" si="9"/>
        <v>7.4 - Pain, Headache (includes migraine)</v>
      </c>
      <c r="D63" s="3" t="s">
        <v>447</v>
      </c>
      <c r="E63" s="3">
        <f t="shared" si="10"/>
        <v>7</v>
      </c>
      <c r="F63" s="3">
        <f t="shared" si="11"/>
        <v>4000.0000000000036</v>
      </c>
    </row>
    <row r="64" spans="2:11">
      <c r="B64" s="3">
        <v>7.5</v>
      </c>
      <c r="C64" s="3" t="str">
        <f t="shared" si="9"/>
        <v>7.5 - Pain, Multi‐site pain</v>
      </c>
      <c r="D64" s="3" t="s">
        <v>32</v>
      </c>
      <c r="E64" s="3">
        <f t="shared" si="10"/>
        <v>7</v>
      </c>
      <c r="F64" s="3">
        <f t="shared" si="11"/>
        <v>5000</v>
      </c>
      <c r="I64" s="3" t="s">
        <v>52</v>
      </c>
      <c r="J64" s="3" t="s">
        <v>213</v>
      </c>
    </row>
    <row r="65" spans="2:10">
      <c r="B65" s="3">
        <v>7.9</v>
      </c>
      <c r="C65" s="3" t="str">
        <f t="shared" si="9"/>
        <v>7.9 - Other pain</v>
      </c>
      <c r="D65" s="3" t="s">
        <v>33</v>
      </c>
      <c r="E65" s="3">
        <f t="shared" si="10"/>
        <v>7</v>
      </c>
      <c r="F65" s="3">
        <f t="shared" si="11"/>
        <v>9000.0000000000036</v>
      </c>
      <c r="I65" s="3" t="s">
        <v>89</v>
      </c>
      <c r="J65" s="3">
        <v>1</v>
      </c>
    </row>
    <row r="66" spans="2:10">
      <c r="B66" s="3">
        <v>8.1110000000000007</v>
      </c>
      <c r="C66" s="3" t="str">
        <f t="shared" si="9"/>
        <v>8.111 - Orthopaedic Conditions, Fracture of hip, unilateral (includes #NOF)</v>
      </c>
      <c r="D66" s="3" t="s">
        <v>448</v>
      </c>
      <c r="E66" s="3">
        <f t="shared" si="10"/>
        <v>8</v>
      </c>
      <c r="F66" s="3">
        <f t="shared" si="11"/>
        <v>1110.0000000000066</v>
      </c>
      <c r="I66" s="3" t="s">
        <v>180</v>
      </c>
      <c r="J66" s="3">
        <v>2</v>
      </c>
    </row>
    <row r="67" spans="2:10">
      <c r="B67" s="3">
        <v>8.1120000000000001</v>
      </c>
      <c r="C67" s="3" t="str">
        <f t="shared" si="9"/>
        <v>8.112 - Orthopaedic Conditions, Fracture of hip, bilateral (includes #NOF)</v>
      </c>
      <c r="D67" s="3" t="s">
        <v>449</v>
      </c>
      <c r="E67" s="3">
        <f t="shared" si="10"/>
        <v>8</v>
      </c>
      <c r="F67" s="3">
        <f t="shared" si="11"/>
        <v>1120.0000000000009</v>
      </c>
      <c r="I67" s="3" t="s">
        <v>187</v>
      </c>
      <c r="J67" s="3">
        <v>3</v>
      </c>
    </row>
    <row r="68" spans="2:10">
      <c r="B68" s="3">
        <v>8.1199999999999992</v>
      </c>
      <c r="C68" s="3" t="str">
        <f t="shared" si="9"/>
        <v>8.12 - Orthopaedic Conditions, Fracture of shaft of femur (excludes femur involving knee joint)</v>
      </c>
      <c r="D68" s="3" t="s">
        <v>450</v>
      </c>
      <c r="E68" s="3">
        <f t="shared" si="10"/>
        <v>8</v>
      </c>
      <c r="F68" s="3">
        <f t="shared" si="11"/>
        <v>1199.9999999999923</v>
      </c>
    </row>
    <row r="69" spans="2:10">
      <c r="B69" s="3">
        <v>8.1300000000000008</v>
      </c>
      <c r="C69" s="3" t="str">
        <f t="shared" ref="C69:C100" si="12">CONCATENATE(B69," - ",D69)</f>
        <v>8.13 - Orthopaedic Conditions, Fracture of pelvis</v>
      </c>
      <c r="D69" s="3" t="s">
        <v>34</v>
      </c>
      <c r="E69" s="3">
        <f t="shared" ref="E69:E103" si="13">ROUNDDOWN(B69,0)</f>
        <v>8</v>
      </c>
      <c r="F69" s="3">
        <f t="shared" ref="F69:F100" si="14">(B69-E69)*10000</f>
        <v>1300.0000000000077</v>
      </c>
      <c r="I69" s="3" t="s">
        <v>52</v>
      </c>
      <c r="J69" s="3" t="s">
        <v>213</v>
      </c>
    </row>
    <row r="70" spans="2:10">
      <c r="B70" s="3">
        <v>8.141</v>
      </c>
      <c r="C70" s="3" t="str">
        <f t="shared" si="12"/>
        <v>8.141 - Orthopaedic Conditions, Fracture of knee (includes patella, femur involving knee joint, tibia or fibula involving knee joint)</v>
      </c>
      <c r="D70" s="3" t="s">
        <v>470</v>
      </c>
      <c r="E70" s="3">
        <f t="shared" si="13"/>
        <v>8</v>
      </c>
      <c r="F70" s="3">
        <f t="shared" si="14"/>
        <v>1410.0000000000002</v>
      </c>
      <c r="I70" s="3" t="s">
        <v>230</v>
      </c>
      <c r="J70" s="3">
        <v>2</v>
      </c>
    </row>
    <row r="71" spans="2:10">
      <c r="B71" s="3">
        <v>8.1419999999999995</v>
      </c>
      <c r="C71" s="3" t="str">
        <f t="shared" si="12"/>
        <v>8.142 - Orthopaedic Conditions, Fracture of leg, ankle, foot</v>
      </c>
      <c r="D71" s="3" t="s">
        <v>451</v>
      </c>
      <c r="E71" s="3">
        <f t="shared" si="13"/>
        <v>8</v>
      </c>
      <c r="F71" s="3">
        <f t="shared" si="14"/>
        <v>1419.9999999999945</v>
      </c>
      <c r="I71" s="3" t="s">
        <v>226</v>
      </c>
      <c r="J71" s="3">
        <v>1</v>
      </c>
    </row>
    <row r="72" spans="2:10">
      <c r="B72" s="3">
        <v>8.15</v>
      </c>
      <c r="C72" s="3" t="str">
        <f t="shared" si="12"/>
        <v>8.15 - Orthopaedic Conditions, Fracture of upper limb (includes hand, fingers, wrist, forearm, arm, shoulder)</v>
      </c>
      <c r="D72" s="3" t="s">
        <v>452</v>
      </c>
      <c r="E72" s="3">
        <f t="shared" si="13"/>
        <v>8</v>
      </c>
      <c r="F72" s="3">
        <f t="shared" si="14"/>
        <v>1500.0000000000036</v>
      </c>
    </row>
    <row r="73" spans="2:10">
      <c r="B73" s="3">
        <v>8.16</v>
      </c>
      <c r="C73" s="3" t="str">
        <f t="shared" si="12"/>
        <v>8.16 - Orthopaedic Conditions, Fracture of spine (excludes where the major disorder is pain)</v>
      </c>
      <c r="D73" s="3" t="s">
        <v>453</v>
      </c>
      <c r="E73" s="3">
        <f t="shared" si="13"/>
        <v>8</v>
      </c>
      <c r="F73" s="3">
        <f t="shared" si="14"/>
        <v>1600.0000000000014</v>
      </c>
    </row>
    <row r="74" spans="2:10">
      <c r="B74" s="3">
        <v>8.17</v>
      </c>
      <c r="C74" s="3" t="str">
        <f t="shared" si="12"/>
        <v>8.17 - Orthopaedic Conditions, Fracture of multiple sites</v>
      </c>
      <c r="D74" s="3" t="s">
        <v>454</v>
      </c>
      <c r="E74" s="3">
        <f t="shared" si="13"/>
        <v>8</v>
      </c>
      <c r="F74" s="3">
        <f t="shared" si="14"/>
        <v>1699.9999999999993</v>
      </c>
    </row>
    <row r="75" spans="2:10">
      <c r="B75" s="3">
        <v>8.19</v>
      </c>
      <c r="C75" s="3" t="str">
        <f t="shared" si="12"/>
        <v>8.19 - Other orthopaedic fracture</v>
      </c>
      <c r="D75" s="3" t="s">
        <v>35</v>
      </c>
      <c r="E75" s="3">
        <f t="shared" si="13"/>
        <v>8</v>
      </c>
      <c r="F75" s="3">
        <f t="shared" si="14"/>
        <v>1899.999999999995</v>
      </c>
    </row>
    <row r="76" spans="2:10">
      <c r="B76" s="3">
        <v>8.2110000000000003</v>
      </c>
      <c r="C76" s="3" t="str">
        <f t="shared" si="12"/>
        <v>8.211 - Post orthopaedic surgery, Unilateral hip replacement</v>
      </c>
      <c r="D76" s="3" t="s">
        <v>455</v>
      </c>
      <c r="E76" s="3">
        <f t="shared" si="13"/>
        <v>8</v>
      </c>
      <c r="F76" s="3">
        <f t="shared" si="14"/>
        <v>2110.0000000000032</v>
      </c>
    </row>
    <row r="77" spans="2:10">
      <c r="B77" s="3">
        <v>8.2119999999999997</v>
      </c>
      <c r="C77" s="3" t="str">
        <f t="shared" si="12"/>
        <v>8.212 - Post orthopaedic surgery, Bilateral hip replacement</v>
      </c>
      <c r="D77" s="3" t="s">
        <v>36</v>
      </c>
      <c r="E77" s="3">
        <f t="shared" si="13"/>
        <v>8</v>
      </c>
      <c r="F77" s="3">
        <f t="shared" si="14"/>
        <v>2119.9999999999973</v>
      </c>
    </row>
    <row r="78" spans="2:10">
      <c r="B78" s="3">
        <v>8.2210000000000001</v>
      </c>
      <c r="C78" s="3" t="str">
        <f t="shared" si="12"/>
        <v>8.221 - Post orthopaedic surgery, Unilateral knee replacement</v>
      </c>
      <c r="D78" s="3" t="s">
        <v>456</v>
      </c>
      <c r="E78" s="3">
        <f t="shared" si="13"/>
        <v>8</v>
      </c>
      <c r="F78" s="3">
        <f t="shared" si="14"/>
        <v>2210.0000000000009</v>
      </c>
    </row>
    <row r="79" spans="2:10">
      <c r="B79" s="3">
        <v>8.2219999999999995</v>
      </c>
      <c r="C79" s="3" t="str">
        <f t="shared" si="12"/>
        <v>8.222 - Post orthopaedic surgery, Bilateral knee replacement</v>
      </c>
      <c r="D79" s="3" t="s">
        <v>37</v>
      </c>
      <c r="E79" s="3">
        <f t="shared" si="13"/>
        <v>8</v>
      </c>
      <c r="F79" s="3">
        <f t="shared" si="14"/>
        <v>2219.9999999999955</v>
      </c>
    </row>
    <row r="80" spans="2:10">
      <c r="B80" s="3">
        <v>8.2309999999999999</v>
      </c>
      <c r="C80" s="3" t="str">
        <f t="shared" si="12"/>
        <v>8.231 - Post orthopaedic surgery, Knee and hip replacement same side</v>
      </c>
      <c r="D80" s="3" t="s">
        <v>469</v>
      </c>
      <c r="E80" s="3">
        <f t="shared" si="13"/>
        <v>8</v>
      </c>
      <c r="F80" s="3">
        <f t="shared" si="14"/>
        <v>2309.9999999999986</v>
      </c>
    </row>
    <row r="81" spans="2:6">
      <c r="B81" s="3">
        <v>8.2319999999999993</v>
      </c>
      <c r="C81" s="3" t="str">
        <f t="shared" si="12"/>
        <v>8.232 - Post orthopaedic surgery, Knee and hip replacement different sides</v>
      </c>
      <c r="D81" s="3" t="s">
        <v>457</v>
      </c>
      <c r="E81" s="3">
        <f t="shared" si="13"/>
        <v>8</v>
      </c>
      <c r="F81" s="3">
        <f t="shared" si="14"/>
        <v>2319.9999999999932</v>
      </c>
    </row>
    <row r="82" spans="2:6">
      <c r="B82" s="3">
        <v>8.24</v>
      </c>
      <c r="C82" s="3" t="str">
        <f t="shared" si="12"/>
        <v>8.24 - Post orthopaedic surgery, Shoulder replacement or repair</v>
      </c>
      <c r="D82" s="3" t="s">
        <v>458</v>
      </c>
      <c r="E82" s="3">
        <f t="shared" si="13"/>
        <v>8</v>
      </c>
      <c r="F82" s="3">
        <f t="shared" si="14"/>
        <v>2400.0000000000023</v>
      </c>
    </row>
    <row r="83" spans="2:6">
      <c r="B83" s="3">
        <v>8.25</v>
      </c>
      <c r="C83" s="3" t="str">
        <f t="shared" si="12"/>
        <v>8.25 - Post orthopaedic surgery, Post spinal surgery</v>
      </c>
      <c r="D83" s="3" t="s">
        <v>468</v>
      </c>
      <c r="E83" s="3">
        <f t="shared" si="13"/>
        <v>8</v>
      </c>
      <c r="F83" s="3">
        <f t="shared" si="14"/>
        <v>2500</v>
      </c>
    </row>
    <row r="84" spans="2:6">
      <c r="B84" s="3">
        <v>8.26</v>
      </c>
      <c r="C84" s="3" t="str">
        <f t="shared" si="12"/>
        <v>8.26 - Other orthopaedic surgery</v>
      </c>
      <c r="D84" s="3" t="s">
        <v>38</v>
      </c>
      <c r="E84" s="3">
        <f t="shared" si="13"/>
        <v>8</v>
      </c>
      <c r="F84" s="3">
        <f t="shared" si="14"/>
        <v>2599.9999999999977</v>
      </c>
    </row>
    <row r="85" spans="2:6">
      <c r="B85" s="3">
        <v>8.3000000000000007</v>
      </c>
      <c r="C85" s="3" t="str">
        <f t="shared" si="12"/>
        <v>8.3 - Soft tissue injury</v>
      </c>
      <c r="D85" s="3" t="s">
        <v>459</v>
      </c>
      <c r="E85" s="3">
        <f t="shared" si="13"/>
        <v>8</v>
      </c>
      <c r="F85" s="3">
        <f t="shared" si="14"/>
        <v>3000.0000000000073</v>
      </c>
    </row>
    <row r="86" spans="2:6">
      <c r="B86" s="3">
        <v>9.1</v>
      </c>
      <c r="C86" s="3" t="str">
        <f t="shared" si="12"/>
        <v>9.1 - Cardiac, Following recent onset of new cardiac impairment</v>
      </c>
      <c r="D86" s="3" t="s">
        <v>39</v>
      </c>
      <c r="E86" s="3">
        <f t="shared" si="13"/>
        <v>9</v>
      </c>
      <c r="F86" s="3">
        <f t="shared" si="14"/>
        <v>999.99999999999648</v>
      </c>
    </row>
    <row r="87" spans="2:6">
      <c r="B87" s="3">
        <v>9.1999999999999993</v>
      </c>
      <c r="C87" s="3" t="str">
        <f t="shared" si="12"/>
        <v>9.2 - Cardiac, Chronic cardiac insufficiency</v>
      </c>
      <c r="D87" s="3" t="s">
        <v>40</v>
      </c>
      <c r="E87" s="3">
        <f t="shared" si="13"/>
        <v>9</v>
      </c>
      <c r="F87" s="3">
        <f t="shared" si="14"/>
        <v>1999.999999999993</v>
      </c>
    </row>
    <row r="88" spans="2:6">
      <c r="B88" s="3">
        <v>9.3000000000000007</v>
      </c>
      <c r="C88" s="3" t="str">
        <f t="shared" si="12"/>
        <v>9.3 - Cardiac, Heart or heart/lung transplant</v>
      </c>
      <c r="D88" s="3" t="s">
        <v>460</v>
      </c>
      <c r="E88" s="3">
        <f t="shared" si="13"/>
        <v>9</v>
      </c>
      <c r="F88" s="3">
        <f t="shared" si="14"/>
        <v>3000.0000000000073</v>
      </c>
    </row>
    <row r="89" spans="2:6">
      <c r="B89" s="3">
        <v>10.1</v>
      </c>
      <c r="C89" s="3" t="str">
        <f t="shared" si="12"/>
        <v>10.1 - Pulmonary, Chronic obstructive pulmonary disease</v>
      </c>
      <c r="D89" s="3" t="s">
        <v>41</v>
      </c>
      <c r="E89" s="3">
        <f t="shared" si="13"/>
        <v>10</v>
      </c>
      <c r="F89" s="3">
        <f t="shared" si="14"/>
        <v>999.99999999999648</v>
      </c>
    </row>
    <row r="90" spans="2:6">
      <c r="B90" s="3">
        <v>10.199999999999999</v>
      </c>
      <c r="C90" s="3" t="str">
        <f t="shared" si="12"/>
        <v>10.2 - Pulmonary, Lung transplant</v>
      </c>
      <c r="D90" s="3" t="s">
        <v>42</v>
      </c>
      <c r="E90" s="3">
        <f t="shared" si="13"/>
        <v>10</v>
      </c>
      <c r="F90" s="3">
        <f t="shared" si="14"/>
        <v>1999.999999999993</v>
      </c>
    </row>
    <row r="91" spans="2:6">
      <c r="B91" s="3">
        <v>10.9</v>
      </c>
      <c r="C91" s="3" t="str">
        <f t="shared" si="12"/>
        <v>10.9 - Other pulmonary</v>
      </c>
      <c r="D91" s="3" t="s">
        <v>43</v>
      </c>
      <c r="E91" s="3">
        <f t="shared" si="13"/>
        <v>10</v>
      </c>
      <c r="F91" s="3">
        <f t="shared" si="14"/>
        <v>9000.0000000000036</v>
      </c>
    </row>
    <row r="92" spans="2:6">
      <c r="B92" s="3">
        <v>11</v>
      </c>
      <c r="C92" s="3" t="str">
        <f t="shared" si="12"/>
        <v>11 - Burns</v>
      </c>
      <c r="D92" s="3" t="s">
        <v>44</v>
      </c>
      <c r="E92" s="3">
        <f t="shared" si="13"/>
        <v>11</v>
      </c>
      <c r="F92" s="3">
        <f t="shared" si="14"/>
        <v>0</v>
      </c>
    </row>
    <row r="93" spans="2:6">
      <c r="B93" s="3">
        <v>12.1</v>
      </c>
      <c r="C93" s="3" t="str">
        <f t="shared" si="12"/>
        <v>12.1 - Congenital Deformities, Spina bifida</v>
      </c>
      <c r="D93" s="3" t="s">
        <v>461</v>
      </c>
      <c r="E93" s="3">
        <f t="shared" si="13"/>
        <v>12</v>
      </c>
      <c r="F93" s="3">
        <f t="shared" si="14"/>
        <v>999.99999999999648</v>
      </c>
    </row>
    <row r="94" spans="2:6">
      <c r="B94" s="3">
        <v>12.9</v>
      </c>
      <c r="C94" s="3" t="str">
        <f t="shared" si="12"/>
        <v>12.9 - Other congenital</v>
      </c>
      <c r="D94" s="3" t="s">
        <v>45</v>
      </c>
      <c r="E94" s="3">
        <f t="shared" si="13"/>
        <v>12</v>
      </c>
      <c r="F94" s="3">
        <f t="shared" si="14"/>
        <v>9000.0000000000036</v>
      </c>
    </row>
    <row r="95" spans="2:6">
      <c r="B95" s="3">
        <v>13.1</v>
      </c>
      <c r="C95" s="3" t="str">
        <f t="shared" si="12"/>
        <v>13.1 - Other Disabling Impairments, Lymphoedema</v>
      </c>
      <c r="D95" s="3" t="s">
        <v>462</v>
      </c>
      <c r="E95" s="3">
        <f t="shared" si="13"/>
        <v>13</v>
      </c>
      <c r="F95" s="3">
        <f t="shared" si="14"/>
        <v>999.99999999999648</v>
      </c>
    </row>
    <row r="96" spans="2:6">
      <c r="B96" s="3">
        <v>13.3</v>
      </c>
      <c r="C96" s="3" t="str">
        <f t="shared" si="12"/>
        <v>13.3 - Other Disabling Impairments, Conversion disorder</v>
      </c>
      <c r="D96" s="3" t="s">
        <v>463</v>
      </c>
      <c r="E96" s="3">
        <f t="shared" si="13"/>
        <v>13</v>
      </c>
      <c r="F96" s="3">
        <f t="shared" si="14"/>
        <v>3000.0000000000073</v>
      </c>
    </row>
    <row r="97" spans="2:6">
      <c r="B97" s="3">
        <v>13.9</v>
      </c>
      <c r="C97" s="3" t="str">
        <f t="shared" si="12"/>
        <v>13.9 - Other disabling impairments. This classification should rarely be used.</v>
      </c>
      <c r="D97" s="3" t="s">
        <v>46</v>
      </c>
      <c r="E97" s="3">
        <f t="shared" si="13"/>
        <v>13</v>
      </c>
      <c r="F97" s="3">
        <f t="shared" si="14"/>
        <v>9000.0000000000036</v>
      </c>
    </row>
    <row r="98" spans="2:6">
      <c r="B98" s="3">
        <v>14.1</v>
      </c>
      <c r="C98" s="3" t="str">
        <f t="shared" si="12"/>
        <v>14.1 - Major Multiple Trauma, Brain + spinal cord injury</v>
      </c>
      <c r="D98" s="3" t="s">
        <v>47</v>
      </c>
      <c r="E98" s="3">
        <f t="shared" si="13"/>
        <v>14</v>
      </c>
      <c r="F98" s="3">
        <f t="shared" si="14"/>
        <v>999.99999999999648</v>
      </c>
    </row>
    <row r="99" spans="2:6">
      <c r="B99" s="3">
        <v>14.2</v>
      </c>
      <c r="C99" s="3" t="str">
        <f t="shared" si="12"/>
        <v>14.2 - Major Multiple Trauma, Brain + multiple fracture/amputation</v>
      </c>
      <c r="D99" s="3" t="s">
        <v>464</v>
      </c>
      <c r="E99" s="3">
        <f t="shared" si="13"/>
        <v>14</v>
      </c>
      <c r="F99" s="3">
        <f t="shared" si="14"/>
        <v>1999.999999999993</v>
      </c>
    </row>
    <row r="100" spans="2:6">
      <c r="B100" s="3">
        <v>14.3</v>
      </c>
      <c r="C100" s="3" t="str">
        <f t="shared" si="12"/>
        <v>14.3 - Major Multiple Trauma, Spinal cord + multiple fracture/amputation</v>
      </c>
      <c r="D100" s="3" t="s">
        <v>465</v>
      </c>
      <c r="E100" s="3">
        <f t="shared" si="13"/>
        <v>14</v>
      </c>
      <c r="F100" s="3">
        <f t="shared" si="14"/>
        <v>3000.0000000000073</v>
      </c>
    </row>
    <row r="101" spans="2:6">
      <c r="B101" s="3">
        <v>14.9</v>
      </c>
      <c r="C101" s="3" t="str">
        <f t="shared" ref="C101:C103" si="15">CONCATENATE(B101," - ",D101)</f>
        <v>14.9 - Other Multiple trauma</v>
      </c>
      <c r="D101" s="3" t="s">
        <v>217</v>
      </c>
      <c r="E101" s="3">
        <f t="shared" si="13"/>
        <v>14</v>
      </c>
      <c r="F101" s="3">
        <f t="shared" ref="F101:F103" si="16">(B101-E101)*10000</f>
        <v>9000.0000000000036</v>
      </c>
    </row>
    <row r="102" spans="2:6">
      <c r="B102" s="3">
        <v>15.1</v>
      </c>
      <c r="C102" s="3" t="str">
        <f t="shared" si="15"/>
        <v>15.1 - Developmental disabilities</v>
      </c>
      <c r="D102" s="3" t="s">
        <v>48</v>
      </c>
      <c r="E102" s="3">
        <f t="shared" si="13"/>
        <v>15</v>
      </c>
      <c r="F102" s="3">
        <f t="shared" si="16"/>
        <v>999.99999999999648</v>
      </c>
    </row>
    <row r="103" spans="2:6">
      <c r="B103" s="3">
        <v>16.100000000000001</v>
      </c>
      <c r="C103" s="3" t="str">
        <f t="shared" si="15"/>
        <v>16.1 - Reconditioning following surgery</v>
      </c>
      <c r="D103" s="3" t="s">
        <v>466</v>
      </c>
      <c r="E103" s="3">
        <f t="shared" si="13"/>
        <v>16</v>
      </c>
      <c r="F103" s="3">
        <f t="shared" si="16"/>
        <v>1000.0000000000142</v>
      </c>
    </row>
    <row r="104" spans="2:6">
      <c r="B104" s="3">
        <v>16.2</v>
      </c>
      <c r="C104" s="3" t="str">
        <f>CONCATENATE(B104," - ",D104)</f>
        <v>16.2 - Reconditioning following medical illness</v>
      </c>
      <c r="D104" s="3" t="s">
        <v>467</v>
      </c>
      <c r="E104" s="3">
        <f>ROUNDDOWN(B104,0)</f>
        <v>16</v>
      </c>
      <c r="F104" s="3">
        <f>(B104-E104)*10000</f>
        <v>1999.999999999993</v>
      </c>
    </row>
    <row r="105" spans="2:6">
      <c r="B105" s="3">
        <v>16.3</v>
      </c>
      <c r="C105" s="3" t="str">
        <f>CONCATENATE(B105," - ",D105)</f>
        <v>16.3 - Cancer Rehabilitation</v>
      </c>
      <c r="D105" s="3" t="s">
        <v>49</v>
      </c>
      <c r="E105" s="3">
        <f>ROUNDDOWN(B105,0)</f>
        <v>16</v>
      </c>
      <c r="F105" s="3">
        <f>(B105-E105)*10000</f>
        <v>3000.0000000000073</v>
      </c>
    </row>
    <row r="106" spans="2:6">
      <c r="B106" s="3">
        <v>18.100000000000001</v>
      </c>
      <c r="C106" s="3" t="str">
        <f t="shared" ref="C106:C108" si="17">CONCATENATE(B106," - ",D106)</f>
        <v>18.1 - COVID-19 with pulmonary issues</v>
      </c>
      <c r="D106" s="3" t="s">
        <v>504</v>
      </c>
      <c r="E106" s="3">
        <f>ROUNDDOWN(B106,0)</f>
        <v>18</v>
      </c>
      <c r="F106" s="3">
        <f>(B106-E106)*10000</f>
        <v>1000.0000000000142</v>
      </c>
    </row>
    <row r="107" spans="2:6">
      <c r="B107" s="3">
        <v>18.2</v>
      </c>
      <c r="C107" s="3" t="str">
        <f t="shared" si="17"/>
        <v>18.2 - COVID-19 with deconditioning</v>
      </c>
      <c r="D107" s="3" t="s">
        <v>505</v>
      </c>
      <c r="E107" s="3">
        <f>ROUNDDOWN(B107,0)</f>
        <v>18</v>
      </c>
      <c r="F107" s="3">
        <f>(B107-E107)*10000</f>
        <v>1999.999999999993</v>
      </c>
    </row>
    <row r="108" spans="2:6">
      <c r="B108" s="3">
        <v>18.899999999999999</v>
      </c>
      <c r="C108" s="3" t="str">
        <f t="shared" si="17"/>
        <v>18.9 - COVID-19 all other</v>
      </c>
      <c r="D108" s="3" t="s">
        <v>506</v>
      </c>
      <c r="E108" s="3">
        <f>ROUNDDOWN(B108,0)</f>
        <v>18</v>
      </c>
      <c r="F108" s="3">
        <f>(B108-E108)*10000</f>
        <v>8999.9999999999854</v>
      </c>
    </row>
    <row r="111" spans="2:6">
      <c r="B111" s="3" t="s">
        <v>52</v>
      </c>
      <c r="C111" s="3" t="s">
        <v>53</v>
      </c>
      <c r="D111" s="3" t="s">
        <v>54</v>
      </c>
    </row>
    <row r="112" spans="2:6">
      <c r="B112" s="3" t="str">
        <f t="shared" ref="B112:B118" si="18">CONCATENATE(C112," - ",D112)</f>
        <v>1 - Total contact assistance</v>
      </c>
      <c r="C112" s="3">
        <v>1</v>
      </c>
      <c r="D112" s="3" t="s">
        <v>55</v>
      </c>
    </row>
    <row r="113" spans="2:4">
      <c r="B113" s="3" t="str">
        <f t="shared" si="18"/>
        <v>2 - Maximal contact assistance</v>
      </c>
      <c r="C113" s="3">
        <v>2</v>
      </c>
      <c r="D113" s="3" t="s">
        <v>56</v>
      </c>
    </row>
    <row r="114" spans="2:4">
      <c r="B114" s="3" t="str">
        <f t="shared" si="18"/>
        <v>3 - Moderate contact assistance</v>
      </c>
      <c r="C114" s="3">
        <v>3</v>
      </c>
      <c r="D114" s="3" t="s">
        <v>57</v>
      </c>
    </row>
    <row r="115" spans="2:4">
      <c r="B115" s="3" t="str">
        <f t="shared" si="18"/>
        <v>4 - Minimal contact assistance</v>
      </c>
      <c r="C115" s="3">
        <v>4</v>
      </c>
      <c r="D115" s="3" t="s">
        <v>58</v>
      </c>
    </row>
    <row r="116" spans="2:4">
      <c r="B116" s="3" t="str">
        <f t="shared" si="18"/>
        <v>5 - Supervision or setup</v>
      </c>
      <c r="C116" s="3">
        <v>5</v>
      </c>
      <c r="D116" s="3" t="s">
        <v>59</v>
      </c>
    </row>
    <row r="117" spans="2:4">
      <c r="B117" s="3" t="str">
        <f t="shared" si="18"/>
        <v>6 - Modified independence</v>
      </c>
      <c r="C117" s="3">
        <v>6</v>
      </c>
      <c r="D117" s="3" t="s">
        <v>60</v>
      </c>
    </row>
    <row r="118" spans="2:4">
      <c r="B118" s="3" t="str">
        <f t="shared" si="18"/>
        <v>7 - Complete Independence</v>
      </c>
      <c r="C118" s="3">
        <v>7</v>
      </c>
      <c r="D118" s="3" t="s">
        <v>61</v>
      </c>
    </row>
  </sheetData>
  <sheetProtection selectLockedCells="1" selectUnlockedCells="1"/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H26"/>
  <sheetViews>
    <sheetView showGridLines="0" workbookViewId="0">
      <selection activeCell="C9" sqref="C9"/>
    </sheetView>
  </sheetViews>
  <sheetFormatPr defaultColWidth="9.140625" defaultRowHeight="15"/>
  <cols>
    <col min="1" max="1" width="9.140625" style="4"/>
    <col min="2" max="2" width="17.85546875" style="4" customWidth="1"/>
    <col min="3" max="3" width="35.85546875" style="4" bestFit="1" customWidth="1"/>
    <col min="4" max="4" width="55.7109375" style="4" customWidth="1"/>
    <col min="5" max="5" width="38.5703125" style="4" customWidth="1"/>
    <col min="6" max="6" width="19.140625" style="4" customWidth="1"/>
    <col min="7" max="16384" width="9.140625" style="4"/>
  </cols>
  <sheetData>
    <row r="3" spans="2:8">
      <c r="E3" s="4" t="s">
        <v>50</v>
      </c>
      <c r="H3" s="4" t="s">
        <v>223</v>
      </c>
    </row>
    <row r="4" spans="2:8">
      <c r="B4" s="4" t="s">
        <v>212</v>
      </c>
      <c r="C4" s="5">
        <v>1</v>
      </c>
      <c r="D4" s="6" t="s">
        <v>62</v>
      </c>
      <c r="E4" s="7">
        <f>FIMeating</f>
        <v>0</v>
      </c>
      <c r="H4" s="4">
        <f>IF(AND(E4&gt;0,E4&lt;8),1,0)</f>
        <v>0</v>
      </c>
    </row>
    <row r="5" spans="2:8">
      <c r="B5" s="4" t="s">
        <v>216</v>
      </c>
      <c r="C5" s="5">
        <f>IF(AssessOnly&lt;&gt;"",VLOOKUP(AssessOnly,AssessOnlyList, 2,FALSE),"")</f>
        <v>2</v>
      </c>
      <c r="D5" s="6" t="s">
        <v>63</v>
      </c>
      <c r="E5" s="7">
        <f>FIMgrooming</f>
        <v>0</v>
      </c>
      <c r="H5" s="4">
        <f t="shared" ref="H5:H21" si="0">IF(AND(E5&gt;0,E5&lt;8),1,0)</f>
        <v>0</v>
      </c>
    </row>
    <row r="6" spans="2:8">
      <c r="B6" s="4" t="s">
        <v>0</v>
      </c>
      <c r="D6" s="6" t="s">
        <v>64</v>
      </c>
      <c r="E6" s="7">
        <f>FIMbathing</f>
        <v>0</v>
      </c>
      <c r="H6" s="4">
        <f t="shared" si="0"/>
        <v>0</v>
      </c>
    </row>
    <row r="7" spans="2:8">
      <c r="B7" s="4" t="s">
        <v>84</v>
      </c>
      <c r="C7" s="5">
        <f>AROC_Impairment_Code</f>
        <v>0</v>
      </c>
      <c r="D7" s="6" t="s">
        <v>65</v>
      </c>
      <c r="E7" s="7">
        <f>FIMupper</f>
        <v>0</v>
      </c>
      <c r="H7" s="4">
        <f t="shared" si="0"/>
        <v>0</v>
      </c>
    </row>
    <row r="8" spans="2:8">
      <c r="B8" s="4" t="s">
        <v>85</v>
      </c>
      <c r="C8" s="5" t="str">
        <f>IF(AROC_Impairment_Code&lt;&gt;"",VLOOKUP(AROC_Impairment_Code,Impairment_Code, 4,FALSE),"")</f>
        <v/>
      </c>
      <c r="D8" s="6" t="s">
        <v>66</v>
      </c>
      <c r="E8" s="7">
        <f>FIMlower</f>
        <v>0</v>
      </c>
      <c r="H8" s="4">
        <f t="shared" si="0"/>
        <v>0</v>
      </c>
    </row>
    <row r="9" spans="2:8">
      <c r="B9" s="4" t="s">
        <v>86</v>
      </c>
      <c r="C9" s="5" t="str">
        <f>IF(AROC_Impairment_Code&lt;&gt;"",VLOOKUP(AROC_Impairment_Code,Impairment_Code, 5,FALSE),"")</f>
        <v/>
      </c>
      <c r="D9" s="6" t="s">
        <v>67</v>
      </c>
      <c r="E9" s="7">
        <f>FIMtoileting</f>
        <v>0</v>
      </c>
      <c r="H9" s="4">
        <f t="shared" si="0"/>
        <v>0</v>
      </c>
    </row>
    <row r="10" spans="2:8">
      <c r="B10" s="4" t="s">
        <v>234</v>
      </c>
      <c r="C10" s="5" t="str">
        <f>IF(ISNA(VLOOKUP(AROC_Impairment_Code,Impairment_Code, 3,FALSE)),"Code Not Valid",(VLOOKUP(AROC_Impairment_Code,Impairment_Code, 3,FALSE)))</f>
        <v>Code Not Valid</v>
      </c>
      <c r="D10" s="6" t="s">
        <v>75</v>
      </c>
      <c r="E10" s="7">
        <f>FIMbladder</f>
        <v>0</v>
      </c>
      <c r="H10" s="4">
        <f t="shared" si="0"/>
        <v>0</v>
      </c>
    </row>
    <row r="11" spans="2:8">
      <c r="B11" s="4" t="s">
        <v>87</v>
      </c>
      <c r="C11" s="8">
        <f>IF(ISERROR(DATEDIF(Date_of_Birth,Episode_Start_Date,"Y")),"Data Incomplete",DATEDIF(Date_of_Birth,Episode_Start_Date,"Y"))</f>
        <v>0</v>
      </c>
      <c r="D11" s="6" t="s">
        <v>76</v>
      </c>
      <c r="E11" s="7">
        <f>FIMbowel</f>
        <v>0</v>
      </c>
      <c r="H11" s="4">
        <f t="shared" si="0"/>
        <v>0</v>
      </c>
    </row>
    <row r="12" spans="2:8">
      <c r="D12" s="6" t="s">
        <v>79</v>
      </c>
      <c r="E12" s="7">
        <f>FIMtransfer</f>
        <v>0</v>
      </c>
      <c r="H12" s="4">
        <f t="shared" si="0"/>
        <v>0</v>
      </c>
    </row>
    <row r="13" spans="2:8">
      <c r="D13" s="6" t="s">
        <v>77</v>
      </c>
      <c r="E13" s="7">
        <f>FIMtransfertoil</f>
        <v>0</v>
      </c>
      <c r="H13" s="4">
        <f t="shared" si="0"/>
        <v>0</v>
      </c>
    </row>
    <row r="14" spans="2:8">
      <c r="D14" s="6" t="s">
        <v>78</v>
      </c>
      <c r="E14" s="7">
        <f>FIMtransfertub</f>
        <v>0</v>
      </c>
      <c r="H14" s="4">
        <f t="shared" si="0"/>
        <v>0</v>
      </c>
    </row>
    <row r="15" spans="2:8">
      <c r="D15" s="6" t="s">
        <v>68</v>
      </c>
      <c r="E15" s="7">
        <f>FIMlocomotion</f>
        <v>0</v>
      </c>
      <c r="F15" s="4" t="s">
        <v>81</v>
      </c>
      <c r="H15" s="4">
        <f t="shared" si="0"/>
        <v>0</v>
      </c>
    </row>
    <row r="16" spans="2:8">
      <c r="D16" s="6" t="s">
        <v>69</v>
      </c>
      <c r="E16" s="7">
        <f>FIMstairs</f>
        <v>0</v>
      </c>
      <c r="F16" s="9" t="str">
        <f>IF(SUM(H4:H16)=13,SUM(E4:E16),"Data Incomplete")</f>
        <v>Data Incomplete</v>
      </c>
      <c r="H16" s="4">
        <f t="shared" si="0"/>
        <v>0</v>
      </c>
    </row>
    <row r="17" spans="4:8">
      <c r="D17" s="6" t="s">
        <v>70</v>
      </c>
      <c r="E17" s="7">
        <f>FIMcomprehension</f>
        <v>0</v>
      </c>
      <c r="H17" s="4">
        <f t="shared" si="0"/>
        <v>0</v>
      </c>
    </row>
    <row r="18" spans="4:8">
      <c r="D18" s="6" t="s">
        <v>71</v>
      </c>
      <c r="E18" s="7">
        <f>FIMexpression</f>
        <v>0</v>
      </c>
      <c r="H18" s="4">
        <f t="shared" si="0"/>
        <v>0</v>
      </c>
    </row>
    <row r="19" spans="4:8">
      <c r="D19" s="6" t="s">
        <v>72</v>
      </c>
      <c r="E19" s="7">
        <f>FIMsocial</f>
        <v>0</v>
      </c>
      <c r="H19" s="4">
        <f t="shared" si="0"/>
        <v>0</v>
      </c>
    </row>
    <row r="20" spans="4:8">
      <c r="D20" s="6" t="s">
        <v>80</v>
      </c>
      <c r="E20" s="7">
        <f>FIMproblem</f>
        <v>0</v>
      </c>
      <c r="F20" s="4" t="s">
        <v>82</v>
      </c>
      <c r="H20" s="4">
        <f t="shared" si="0"/>
        <v>0</v>
      </c>
    </row>
    <row r="21" spans="4:8">
      <c r="D21" s="6" t="s">
        <v>73</v>
      </c>
      <c r="E21" s="7">
        <f>FIMmemory</f>
        <v>0</v>
      </c>
      <c r="F21" s="9" t="str">
        <f>IF(SUM(H17:H21)=5,SUM(E17:E21),"Data Incomplete")</f>
        <v>Data Incomplete</v>
      </c>
      <c r="H21" s="4">
        <f t="shared" si="0"/>
        <v>0</v>
      </c>
    </row>
    <row r="22" spans="4:8">
      <c r="D22" s="10" t="s">
        <v>83</v>
      </c>
      <c r="E22" s="9" t="str">
        <f>IF(SUM(H4:H21)=18,SUM(E4:E21),"Data Incomplete")</f>
        <v>Data Incomplete</v>
      </c>
    </row>
    <row r="24" spans="4:8">
      <c r="D24" s="11" t="s">
        <v>220</v>
      </c>
      <c r="E24" s="4" t="str">
        <f>IF(AND(SUM(H4:H21)=18,AICRaw&lt;&gt;0,RehabTypeValue&gt;0,AssessOnlyValue&gt;0,AICmajor&gt;0,Age&gt;5,Age&lt;120),"Yes","No")</f>
        <v>No</v>
      </c>
    </row>
    <row r="25" spans="4:8" ht="26.25" customHeight="1">
      <c r="D25" s="12" t="s">
        <v>219</v>
      </c>
      <c r="E25" s="4" t="str">
        <f>IF(DataComplete="Yes",VLOOKUP("MATCH",SNAPCode_List,2,FALSE),"—")</f>
        <v>—</v>
      </c>
    </row>
    <row r="26" spans="4:8" ht="23.25">
      <c r="D26" s="12" t="s">
        <v>54</v>
      </c>
      <c r="E26" s="4" t="str">
        <f>IF(DataComplete="Yes",VLOOKUP("MATCH",SNAPCode_List,4,FALSE),"—")</f>
        <v>—</v>
      </c>
    </row>
  </sheetData>
  <sheetProtection selectLockedCells="1" selectUnlockedCells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N118"/>
  <sheetViews>
    <sheetView showGridLines="0" topLeftCell="D1" zoomScaleNormal="100" workbookViewId="0">
      <selection activeCell="K28" sqref="K28"/>
    </sheetView>
  </sheetViews>
  <sheetFormatPr defaultColWidth="9.140625" defaultRowHeight="15"/>
  <cols>
    <col min="1" max="1" width="3" style="13" customWidth="1"/>
    <col min="2" max="2" width="20.140625" style="13" customWidth="1"/>
    <col min="3" max="3" width="117.140625" style="13" bestFit="1" customWidth="1"/>
    <col min="4" max="4" width="18.42578125" style="13" customWidth="1"/>
    <col min="5" max="5" width="13.5703125" style="13" customWidth="1"/>
    <col min="6" max="6" width="10.85546875" style="13" bestFit="1" customWidth="1"/>
    <col min="7" max="7" width="17.42578125" style="13" bestFit="1" customWidth="1"/>
    <col min="8" max="8" width="20.28515625" style="13" customWidth="1"/>
    <col min="9" max="9" width="20" style="13" customWidth="1"/>
    <col min="10" max="10" width="15.85546875" style="13" customWidth="1"/>
    <col min="11" max="11" width="22.7109375" style="13" customWidth="1"/>
    <col min="12" max="12" width="28.140625" style="13" customWidth="1"/>
    <col min="13" max="13" width="11.28515625" style="13" customWidth="1"/>
    <col min="14" max="14" width="72.42578125" style="13" customWidth="1"/>
    <col min="15" max="16384" width="9.140625" style="13"/>
  </cols>
  <sheetData>
    <row r="1" spans="2:14">
      <c r="B1" s="13" t="s">
        <v>1</v>
      </c>
    </row>
    <row r="2" spans="2:14">
      <c r="B2" s="13" t="s">
        <v>2</v>
      </c>
      <c r="C2" s="13" t="s">
        <v>52</v>
      </c>
      <c r="D2" s="13" t="s">
        <v>3</v>
      </c>
      <c r="E2" s="13" t="s">
        <v>4</v>
      </c>
      <c r="F2" s="13" t="s">
        <v>5</v>
      </c>
      <c r="G2" s="13" t="s">
        <v>255</v>
      </c>
      <c r="H2" s="13" t="s">
        <v>260</v>
      </c>
      <c r="I2" s="13" t="s">
        <v>261</v>
      </c>
      <c r="K2" s="13" t="s">
        <v>211</v>
      </c>
      <c r="L2" s="13" t="s">
        <v>84</v>
      </c>
      <c r="M2" s="13" t="s">
        <v>212</v>
      </c>
      <c r="N2" s="13" t="s">
        <v>218</v>
      </c>
    </row>
    <row r="3" spans="2:14">
      <c r="B3" s="13">
        <v>1.1100000000000001</v>
      </c>
      <c r="C3" s="13" t="str">
        <f t="shared" ref="C3:C18" si="0">CONCATENATE(B3," - ",D3)</f>
        <v>1.11 - Stroke, Haemorrhagic, Left Body Involvement(Right Brain)</v>
      </c>
      <c r="D3" s="3" t="s">
        <v>417</v>
      </c>
      <c r="E3" s="13">
        <f t="shared" ref="E3:E18" si="1">ROUNDDOWN(B3,0)</f>
        <v>1</v>
      </c>
      <c r="F3" s="13">
        <f t="shared" ref="F3:F18" si="2">(B3-E3)*10000</f>
        <v>1100.0000000000009</v>
      </c>
      <c r="G3" s="13">
        <v>1</v>
      </c>
      <c r="H3" s="13">
        <v>2</v>
      </c>
      <c r="I3" s="13" t="s">
        <v>262</v>
      </c>
      <c r="K3" s="13" t="e">
        <f>IF(AND(RehabTypeValue=1,  R.W.FIM_Motorv4&lt;=18,WFIMLowGroupv4=1,Agev4&gt;=49),"MATCH","###")</f>
        <v>#N/A</v>
      </c>
      <c r="L3" s="13" t="s">
        <v>256</v>
      </c>
      <c r="M3" s="13" t="s">
        <v>369</v>
      </c>
      <c r="N3" s="13" t="s">
        <v>272</v>
      </c>
    </row>
    <row r="4" spans="2:14">
      <c r="B4" s="13">
        <v>1.1200000000000001</v>
      </c>
      <c r="C4" s="13" t="str">
        <f t="shared" si="0"/>
        <v>1.12 - Stroke, Haemorrhagic, Right Body Involvement(Left Brain)</v>
      </c>
      <c r="D4" s="3" t="s">
        <v>418</v>
      </c>
      <c r="E4" s="13">
        <f t="shared" si="1"/>
        <v>1</v>
      </c>
      <c r="F4" s="13">
        <f t="shared" si="2"/>
        <v>1200.0000000000011</v>
      </c>
      <c r="G4" s="13">
        <v>1</v>
      </c>
      <c r="H4" s="13">
        <v>2</v>
      </c>
      <c r="I4" s="13" t="s">
        <v>262</v>
      </c>
      <c r="K4" s="13" t="e">
        <f>IF(AND(RehabTypeValue=1,Agev4 &gt;=18,R.W.FIM_Motorv4&lt;=18,WFIMLowGroupv4=1,Agev4&lt;=48),"MATCH","###")</f>
        <v>#N/A</v>
      </c>
      <c r="L4" s="13" t="s">
        <v>257</v>
      </c>
      <c r="M4" s="13" t="s">
        <v>369</v>
      </c>
      <c r="N4" s="13" t="s">
        <v>273</v>
      </c>
    </row>
    <row r="5" spans="2:14">
      <c r="B5" s="13">
        <v>1.1299999999999999</v>
      </c>
      <c r="C5" s="13" t="str">
        <f t="shared" si="0"/>
        <v>1.13 - Stroke, Haemorrhagic, Bilateral Involvement</v>
      </c>
      <c r="D5" s="3" t="s">
        <v>419</v>
      </c>
      <c r="E5" s="13">
        <f t="shared" si="1"/>
        <v>1</v>
      </c>
      <c r="F5" s="13">
        <f t="shared" si="2"/>
        <v>1299.9999999999989</v>
      </c>
      <c r="G5" s="13">
        <v>1</v>
      </c>
      <c r="H5" s="13">
        <v>2</v>
      </c>
      <c r="I5" s="13" t="s">
        <v>262</v>
      </c>
      <c r="K5" s="13" t="e">
        <f>IF(AND(RehabTypeValue=1, R.W.FIM_Motorv4&lt;=18, WFIMLowGroupv4=2,Agev4&gt;=65),"MATCH","###")</f>
        <v>#N/A</v>
      </c>
      <c r="L5" s="13" t="s">
        <v>258</v>
      </c>
      <c r="M5" s="13" t="s">
        <v>369</v>
      </c>
      <c r="N5" s="13" t="s">
        <v>274</v>
      </c>
    </row>
    <row r="6" spans="2:14">
      <c r="B6" s="13">
        <v>1.1399999999999999</v>
      </c>
      <c r="C6" s="13" t="str">
        <f t="shared" si="0"/>
        <v>1.14 - Stroke, Haemorrhagic, No Paresis</v>
      </c>
      <c r="D6" s="3" t="s">
        <v>416</v>
      </c>
      <c r="E6" s="13">
        <f t="shared" si="1"/>
        <v>1</v>
      </c>
      <c r="F6" s="13">
        <f t="shared" si="2"/>
        <v>1399.9999999999991</v>
      </c>
      <c r="G6" s="13">
        <v>1</v>
      </c>
      <c r="H6" s="13">
        <v>2</v>
      </c>
      <c r="I6" s="13" t="s">
        <v>262</v>
      </c>
      <c r="K6" s="13" t="e">
        <f>IF(AND(RehabTypeValue=1, R.W.FIM_Motorv4&lt;=18, WFIMLowGroupv4=2,Agev4&lt;=64),"MATCH","###")</f>
        <v>#N/A</v>
      </c>
      <c r="L6" s="13" t="s">
        <v>259</v>
      </c>
      <c r="M6" s="13" t="s">
        <v>369</v>
      </c>
      <c r="N6" s="13" t="s">
        <v>275</v>
      </c>
    </row>
    <row r="7" spans="2:14">
      <c r="B7" s="13">
        <v>1.19</v>
      </c>
      <c r="C7" s="13" t="str">
        <f t="shared" si="0"/>
        <v>1.19 - Other haemorrhagic stroke</v>
      </c>
      <c r="D7" s="3" t="s">
        <v>6</v>
      </c>
      <c r="E7" s="13">
        <f t="shared" si="1"/>
        <v>1</v>
      </c>
      <c r="F7" s="13">
        <f t="shared" si="2"/>
        <v>1899.9999999999995</v>
      </c>
      <c r="G7" s="13">
        <v>1</v>
      </c>
      <c r="H7" s="13">
        <v>2</v>
      </c>
      <c r="I7" s="13" t="s">
        <v>262</v>
      </c>
      <c r="K7" s="13" t="e">
        <f>IF(AND(RehabTypeValue=1,R.W.FIM_Motorv4&gt;18,WFIMHighGroupv4="A",R.W.FIM_Motorv4&gt;=51,R.W.FIM_Motorv4&lt;=91,FIM_Cognition&gt;=29),"MATCH","###")</f>
        <v>#N/A</v>
      </c>
      <c r="L7" s="13" t="s">
        <v>270</v>
      </c>
      <c r="M7" s="13" t="s">
        <v>369</v>
      </c>
      <c r="N7" s="13" t="s">
        <v>276</v>
      </c>
    </row>
    <row r="8" spans="2:14">
      <c r="B8" s="13">
        <v>1.21</v>
      </c>
      <c r="C8" s="13" t="str">
        <f t="shared" si="0"/>
        <v>1.21 - Stroke, Ischaemic, Left Body Involvement(Right Brain)</v>
      </c>
      <c r="D8" s="3" t="s">
        <v>7</v>
      </c>
      <c r="E8" s="13">
        <f t="shared" si="1"/>
        <v>1</v>
      </c>
      <c r="F8" s="13">
        <f t="shared" si="2"/>
        <v>2099.9999999999995</v>
      </c>
      <c r="G8" s="13">
        <v>1</v>
      </c>
      <c r="H8" s="13">
        <v>2</v>
      </c>
      <c r="I8" s="13" t="s">
        <v>262</v>
      </c>
      <c r="K8" s="13" t="e">
        <f>IF(AND(RehabTypeValue=1,R.W.FIM_Motorv4&gt;18,WFIMHighGroupv4="A",R.W.FIM_Motorv4&gt;=51,R.W.FIM_Motorv4&lt;=91,FIM_Cognition&lt;=28,FIM_Cognition&gt;=19),"MATCH","###")</f>
        <v>#N/A</v>
      </c>
      <c r="L8" s="13" t="s">
        <v>277</v>
      </c>
      <c r="M8" s="13" t="s">
        <v>369</v>
      </c>
      <c r="N8" s="13" t="s">
        <v>278</v>
      </c>
    </row>
    <row r="9" spans="2:14">
      <c r="B9" s="13">
        <v>1.22</v>
      </c>
      <c r="C9" s="13" t="str">
        <f t="shared" si="0"/>
        <v>1.22 - Stroke, Ischaemic, Right Body Involvement(Left Brain)</v>
      </c>
      <c r="D9" s="3" t="s">
        <v>8</v>
      </c>
      <c r="E9" s="13">
        <f t="shared" si="1"/>
        <v>1</v>
      </c>
      <c r="F9" s="13">
        <f t="shared" si="2"/>
        <v>2199.9999999999995</v>
      </c>
      <c r="G9" s="13">
        <v>1</v>
      </c>
      <c r="H9" s="13">
        <v>2</v>
      </c>
      <c r="I9" s="13" t="s">
        <v>262</v>
      </c>
      <c r="K9" s="13" t="e">
        <f>IF(AND(RehabTypeValue=1,R.W.FIM_Motorv4&gt;18,WFIMHighGroupv4="A",R.W.FIM_Motorv4&gt;=51,R.W.FIM_Motorv4&lt;=91,FIM_Cognition&lt;=18),"MATCH","###")</f>
        <v>#N/A</v>
      </c>
      <c r="L9" s="13" t="s">
        <v>279</v>
      </c>
      <c r="M9" s="13" t="s">
        <v>369</v>
      </c>
      <c r="N9" s="13" t="s">
        <v>280</v>
      </c>
    </row>
    <row r="10" spans="2:14">
      <c r="B10" s="13">
        <v>1.23</v>
      </c>
      <c r="C10" s="13" t="str">
        <f t="shared" si="0"/>
        <v>1.23 - Stroke, Ischaemic, Bilateral Involvement</v>
      </c>
      <c r="D10" s="3" t="s">
        <v>9</v>
      </c>
      <c r="E10" s="13">
        <f t="shared" si="1"/>
        <v>1</v>
      </c>
      <c r="F10" s="13">
        <f t="shared" si="2"/>
        <v>2300</v>
      </c>
      <c r="G10" s="13">
        <v>1</v>
      </c>
      <c r="H10" s="13">
        <v>2</v>
      </c>
      <c r="I10" s="13" t="s">
        <v>262</v>
      </c>
      <c r="K10" s="13" t="e">
        <f>IF(AND(RehabTypeValue=1,R.W.FIM_Motorv4&gt;18,WFIMHighGroupv4="A",R.W.FIM_Motorv4&gt;=36,R.W.FIM_Motorv4&lt;=50,Agev4&gt;=68),"MATCH","###")</f>
        <v>#N/A</v>
      </c>
      <c r="L10" s="13" t="s">
        <v>281</v>
      </c>
      <c r="M10" s="13" t="s">
        <v>369</v>
      </c>
      <c r="N10" s="13" t="s">
        <v>282</v>
      </c>
    </row>
    <row r="11" spans="2:14">
      <c r="B11" s="13">
        <v>1.24</v>
      </c>
      <c r="C11" s="13" t="str">
        <f t="shared" si="0"/>
        <v>1.24 - Stroke, Ischaemic, No Paresis</v>
      </c>
      <c r="D11" s="3" t="s">
        <v>471</v>
      </c>
      <c r="E11" s="13">
        <f t="shared" si="1"/>
        <v>1</v>
      </c>
      <c r="F11" s="13">
        <f t="shared" si="2"/>
        <v>2400</v>
      </c>
      <c r="G11" s="13">
        <v>1</v>
      </c>
      <c r="H11" s="13">
        <v>2</v>
      </c>
      <c r="I11" s="13" t="s">
        <v>262</v>
      </c>
      <c r="K11" s="13" t="e">
        <f>IF(AND(RehabTypeValue=1,R.W.FIM_Motorv4&gt;18,WFIMHighGroupv4="A",R.W.FIM_Motorv4&gt;=36,R.W.FIM_Motorv4&lt;=50,Agev4&lt;=67),"MATCH","###")</f>
        <v>#N/A</v>
      </c>
      <c r="L11" s="13" t="s">
        <v>283</v>
      </c>
      <c r="M11" s="13" t="s">
        <v>369</v>
      </c>
      <c r="N11" s="13" t="s">
        <v>284</v>
      </c>
    </row>
    <row r="12" spans="2:14">
      <c r="B12" s="13">
        <v>1.29</v>
      </c>
      <c r="C12" s="13" t="str">
        <f t="shared" si="0"/>
        <v>1.29 - Otherischaemic stroke</v>
      </c>
      <c r="D12" s="3" t="s">
        <v>10</v>
      </c>
      <c r="E12" s="13">
        <f t="shared" si="1"/>
        <v>1</v>
      </c>
      <c r="F12" s="13">
        <f t="shared" si="2"/>
        <v>2900.0000000000005</v>
      </c>
      <c r="G12" s="13">
        <v>1</v>
      </c>
      <c r="H12" s="13">
        <v>2</v>
      </c>
      <c r="I12" s="13" t="s">
        <v>262</v>
      </c>
      <c r="K12" s="13" t="e">
        <f>IF(AND(RehabTypeValue=1,R.W.FIM_Motorv4&gt;18,WFIMHighGroupv4="A",R.W.FIM_Motorv4&gt;=19,R.W.FIM_Motorv4&lt;=35,Agev4&gt;=68),"MATCH","###")</f>
        <v>#N/A</v>
      </c>
      <c r="L12" s="13" t="s">
        <v>285</v>
      </c>
      <c r="M12" s="13" t="s">
        <v>369</v>
      </c>
      <c r="N12" s="13" t="s">
        <v>286</v>
      </c>
    </row>
    <row r="13" spans="2:14">
      <c r="B13" s="13">
        <v>2.11</v>
      </c>
      <c r="C13" s="13" t="str">
        <f t="shared" si="0"/>
        <v>2.11 - BrainDysfunction, Non traumatic, subarachnoid haemorrhage</v>
      </c>
      <c r="D13" s="3" t="s">
        <v>421</v>
      </c>
      <c r="E13" s="13">
        <f t="shared" si="1"/>
        <v>2</v>
      </c>
      <c r="F13" s="13">
        <f t="shared" si="2"/>
        <v>1099.9999999999989</v>
      </c>
      <c r="G13" s="13">
        <v>2</v>
      </c>
      <c r="H13" s="13">
        <v>1</v>
      </c>
      <c r="I13" s="13" t="s">
        <v>263</v>
      </c>
      <c r="K13" s="13" t="e">
        <f>IF(AND(RehabTypeValue=1,R.W.FIM_Motorv4&gt;18,WFIMHighGroupv4="A",R.W.FIM_Motorv4&gt;=19,R.W.FIM_Motorv4&lt;=35,Agev4&lt;=67),"MATCH","###")</f>
        <v>#N/A</v>
      </c>
      <c r="L13" s="13" t="s">
        <v>287</v>
      </c>
      <c r="M13" s="13" t="s">
        <v>369</v>
      </c>
      <c r="N13" s="13" t="s">
        <v>288</v>
      </c>
    </row>
    <row r="14" spans="2:14">
      <c r="B14" s="13">
        <v>2.12</v>
      </c>
      <c r="C14" s="13" t="str">
        <f t="shared" si="0"/>
        <v>2.12 - BrainDysfunction, Non traumatic, Anoxic brain damage</v>
      </c>
      <c r="D14" s="3" t="s">
        <v>420</v>
      </c>
      <c r="E14" s="13">
        <f t="shared" si="1"/>
        <v>2</v>
      </c>
      <c r="F14" s="13">
        <f t="shared" si="2"/>
        <v>1200.0000000000011</v>
      </c>
      <c r="G14" s="13">
        <v>2</v>
      </c>
      <c r="H14" s="13">
        <v>1</v>
      </c>
      <c r="I14" s="13" t="s">
        <v>263</v>
      </c>
      <c r="K14" s="13" t="e">
        <f>IF(AND(RehabTypeValue=1,R.W.FIM_Motorv4&gt;18,WFIMHighGroupv4="B",R.W.FIM_Motorv4&gt;=71,R.W.FIM_Motorv4&lt;=91,FIM_Cognition&lt;=35,FIM_Cognition&gt;=26),"MATCH","###")</f>
        <v>#N/A</v>
      </c>
      <c r="L14" s="13" t="s">
        <v>289</v>
      </c>
      <c r="M14" s="13" t="s">
        <v>369</v>
      </c>
      <c r="N14" s="13" t="s">
        <v>290</v>
      </c>
    </row>
    <row r="15" spans="2:14">
      <c r="B15" s="13">
        <v>2.13</v>
      </c>
      <c r="C15" s="13" t="str">
        <f t="shared" si="0"/>
        <v>2.13 - Other non‐traumatic brain dysfunction</v>
      </c>
      <c r="D15" s="3" t="s">
        <v>11</v>
      </c>
      <c r="E15" s="13">
        <f t="shared" si="1"/>
        <v>2</v>
      </c>
      <c r="F15" s="13">
        <f t="shared" si="2"/>
        <v>1299.9999999999989</v>
      </c>
      <c r="G15" s="13">
        <v>2</v>
      </c>
      <c r="H15" s="13">
        <v>1</v>
      </c>
      <c r="I15" s="13" t="s">
        <v>263</v>
      </c>
      <c r="K15" s="13" t="e">
        <f>IF(AND(RehabTypeValue=1,R.W.FIM_Motorv4&gt;18,WFIMHighGroupv4="B",R.W.FIM_Motorv4&gt;=71,R.W.FIM_Motorv4&lt;=91,FIM_Cognition&lt;=25,FIM_Cognition&gt;=5),"MATCH","###")</f>
        <v>#N/A</v>
      </c>
      <c r="L15" s="13" t="s">
        <v>291</v>
      </c>
      <c r="M15" s="13" t="s">
        <v>369</v>
      </c>
      <c r="N15" s="13" t="s">
        <v>292</v>
      </c>
    </row>
    <row r="16" spans="2:14">
      <c r="B16" s="13">
        <v>2.21</v>
      </c>
      <c r="C16" s="13" t="str">
        <f t="shared" si="0"/>
        <v>2.21 - BrainDysfunction, Traumatic, open injury</v>
      </c>
      <c r="D16" s="3" t="s">
        <v>12</v>
      </c>
      <c r="E16" s="13">
        <f t="shared" si="1"/>
        <v>2</v>
      </c>
      <c r="F16" s="13">
        <f t="shared" si="2"/>
        <v>2099.9999999999995</v>
      </c>
      <c r="G16" s="13">
        <v>2</v>
      </c>
      <c r="H16" s="13">
        <v>1</v>
      </c>
      <c r="I16" s="13" t="s">
        <v>263</v>
      </c>
      <c r="K16" s="13" t="e">
        <f>IF(AND(RehabTypeValue=1,R.W.FIM_Motorv4&gt;18,WFIMHighGroupv4="B",R.W.FIM_Motorv4&gt;=41,R.W.FIM_Motorv4&lt;=70,FIM_Cognition&lt;=35,FIM_Cognition&gt;=26),"MATCH","###")</f>
        <v>#N/A</v>
      </c>
      <c r="L16" s="13" t="s">
        <v>293</v>
      </c>
      <c r="M16" s="13" t="s">
        <v>369</v>
      </c>
      <c r="N16" s="13" t="s">
        <v>294</v>
      </c>
    </row>
    <row r="17" spans="2:14">
      <c r="B17" s="13">
        <v>2.2200000000000002</v>
      </c>
      <c r="C17" s="13" t="str">
        <f t="shared" si="0"/>
        <v>2.22 - BrainDysfunction, Traumatic, closed injury</v>
      </c>
      <c r="D17" s="3" t="s">
        <v>13</v>
      </c>
      <c r="E17" s="13">
        <f t="shared" si="1"/>
        <v>2</v>
      </c>
      <c r="F17" s="13">
        <f t="shared" si="2"/>
        <v>2200.0000000000018</v>
      </c>
      <c r="G17" s="13">
        <v>2</v>
      </c>
      <c r="H17" s="13">
        <v>1</v>
      </c>
      <c r="I17" s="13" t="s">
        <v>263</v>
      </c>
      <c r="K17" s="13" t="e">
        <f>IF(AND(RehabTypeValue=1,R.W.FIM_Motorv4&gt;18,WFIMHighGroupv4="B",R.W.FIM_Motorv4&gt;=41,R.W.FIM_Motorv4&lt;=70,FIM_Cognition&lt;=25,FIM_Cognition&gt;=17),"MATCH","###")</f>
        <v>#N/A</v>
      </c>
      <c r="L17" s="13" t="s">
        <v>295</v>
      </c>
      <c r="M17" s="13" t="s">
        <v>369</v>
      </c>
      <c r="N17" s="13" t="s">
        <v>296</v>
      </c>
    </row>
    <row r="18" spans="2:14">
      <c r="B18" s="13">
        <v>3.1</v>
      </c>
      <c r="C18" s="13" t="str">
        <f t="shared" si="0"/>
        <v>3.1 - Neurological conditions, Multiple sclerosis</v>
      </c>
      <c r="D18" s="3" t="s">
        <v>404</v>
      </c>
      <c r="E18" s="13">
        <f t="shared" si="1"/>
        <v>3</v>
      </c>
      <c r="F18" s="13">
        <f t="shared" si="2"/>
        <v>1000.0000000000009</v>
      </c>
      <c r="G18" s="13">
        <v>3</v>
      </c>
      <c r="H18" s="13">
        <v>2</v>
      </c>
      <c r="I18" s="13" t="s">
        <v>264</v>
      </c>
      <c r="K18" s="13" t="e">
        <f>IF(AND(RehabTypeValue=1,R.W.FIM_Motorv4&gt;18,WFIMHighGroupv4="B",R.W.FIM_Motorv4&gt;=41,R.W.FIM_Motorv4&lt;=70,FIM_Cognition&lt;=16,FIM_Cognition&gt;=5),"MATCH","###")</f>
        <v>#N/A</v>
      </c>
      <c r="L18" s="13" t="s">
        <v>297</v>
      </c>
      <c r="M18" s="13" t="s">
        <v>369</v>
      </c>
      <c r="N18" s="13" t="s">
        <v>298</v>
      </c>
    </row>
    <row r="19" spans="2:14">
      <c r="B19" s="13">
        <v>3.2</v>
      </c>
      <c r="C19" s="13" t="str">
        <f t="shared" ref="C19:C50" si="3">CONCATENATE(B19," - ",D19)</f>
        <v>3.2 - Neurological conditions, Parkinsonism</v>
      </c>
      <c r="D19" s="3" t="s">
        <v>14</v>
      </c>
      <c r="E19" s="13">
        <f t="shared" ref="E19:E50" si="4">ROUNDDOWN(B19,0)</f>
        <v>3</v>
      </c>
      <c r="F19" s="13">
        <f t="shared" ref="F19:F50" si="5">(B19-E19)*10000</f>
        <v>2000.0000000000018</v>
      </c>
      <c r="G19" s="13">
        <v>3</v>
      </c>
      <c r="H19" s="13">
        <v>2</v>
      </c>
      <c r="I19" s="13" t="s">
        <v>264</v>
      </c>
      <c r="K19" s="13" t="e">
        <f>IF(AND(RehabTypeValue=1,R.W.FIM_Motorv4&gt;18,WFIMHighGroupv4="B",R.W.FIM_Motorv4&gt;=29,R.W.FIM_Motorv4&lt;=40),"MATCH","###")</f>
        <v>#N/A</v>
      </c>
      <c r="L19" s="13" t="s">
        <v>299</v>
      </c>
      <c r="M19" s="13" t="s">
        <v>369</v>
      </c>
      <c r="N19" s="13" t="s">
        <v>300</v>
      </c>
    </row>
    <row r="20" spans="2:14">
      <c r="B20" s="13">
        <v>3.3</v>
      </c>
      <c r="C20" s="13" t="str">
        <f t="shared" si="3"/>
        <v>3.3 - Neurological conditions, Polyneuropathy</v>
      </c>
      <c r="D20" s="3" t="s">
        <v>15</v>
      </c>
      <c r="E20" s="13">
        <f t="shared" si="4"/>
        <v>3</v>
      </c>
      <c r="F20" s="13">
        <f t="shared" si="5"/>
        <v>2999.9999999999982</v>
      </c>
      <c r="G20" s="13">
        <v>3</v>
      </c>
      <c r="H20" s="13">
        <v>2</v>
      </c>
      <c r="I20" s="13" t="s">
        <v>264</v>
      </c>
      <c r="K20" s="13" t="e">
        <f>IF(AND(RehabTypeValue=1,R.W.FIM_Motorv4&gt;18,WFIMHighGroupv4="B",R.W.FIM_Motorv4&gt;=19,R.W.FIM_Motorv4&lt;=28),"MATCH","###")</f>
        <v>#N/A</v>
      </c>
      <c r="L20" s="13" t="s">
        <v>301</v>
      </c>
      <c r="M20" s="13" t="s">
        <v>369</v>
      </c>
      <c r="N20" s="13" t="s">
        <v>302</v>
      </c>
    </row>
    <row r="21" spans="2:14">
      <c r="B21" s="13">
        <v>3.4</v>
      </c>
      <c r="C21" s="13" t="str">
        <f t="shared" si="3"/>
        <v>3.4 - Neurological conditions, Guillian‐Barre</v>
      </c>
      <c r="D21" s="3" t="s">
        <v>422</v>
      </c>
      <c r="E21" s="13">
        <f t="shared" si="4"/>
        <v>3</v>
      </c>
      <c r="F21" s="13">
        <f t="shared" si="5"/>
        <v>3999.9999999999991</v>
      </c>
      <c r="G21" s="13">
        <v>3</v>
      </c>
      <c r="H21" s="13">
        <v>2</v>
      </c>
      <c r="I21" s="13" t="s">
        <v>264</v>
      </c>
      <c r="K21" s="13" t="e">
        <f>IF(AND(RehabTypeValue=1,R.W.FIM_Motorv4&gt;18,WFIMHighGroupv4="C",R.W.FIM_Motorv4&gt;=62,R.W.FIM_Motorv4&lt;=91),"MATCH","###")</f>
        <v>#N/A</v>
      </c>
      <c r="L21" s="13" t="s">
        <v>303</v>
      </c>
      <c r="M21" s="13" t="s">
        <v>369</v>
      </c>
      <c r="N21" s="13" t="s">
        <v>304</v>
      </c>
    </row>
    <row r="22" spans="2:14">
      <c r="B22" s="13">
        <v>3.5</v>
      </c>
      <c r="C22" s="13" t="str">
        <f t="shared" si="3"/>
        <v>3.5 - Neurological conditions, Cerebral palsy</v>
      </c>
      <c r="D22" s="3" t="s">
        <v>16</v>
      </c>
      <c r="E22" s="13">
        <f t="shared" si="4"/>
        <v>3</v>
      </c>
      <c r="F22" s="13">
        <f t="shared" si="5"/>
        <v>5000</v>
      </c>
      <c r="G22" s="13">
        <v>3</v>
      </c>
      <c r="H22" s="13">
        <v>2</v>
      </c>
      <c r="I22" s="13" t="s">
        <v>264</v>
      </c>
      <c r="K22" s="13" t="e">
        <f>IF(AND(RehabTypeValue=1,R.W.FIM_Motorv4&gt;18,WFIMHighGroupv4="C",R.W.FIM_Motorv4&gt;=43,R.W.FIM_Motorv4&lt;=61),"MATCH","###")</f>
        <v>#N/A</v>
      </c>
      <c r="L22" s="13" t="s">
        <v>305</v>
      </c>
      <c r="M22" s="13" t="s">
        <v>369</v>
      </c>
      <c r="N22" s="13" t="s">
        <v>306</v>
      </c>
    </row>
    <row r="23" spans="2:14">
      <c r="B23" s="13">
        <v>3.8</v>
      </c>
      <c r="C23" s="13" t="str">
        <f t="shared" si="3"/>
        <v>3.8 - Neurological conditions, Neuromuscular disorders</v>
      </c>
      <c r="D23" s="3" t="s">
        <v>423</v>
      </c>
      <c r="E23" s="13">
        <f t="shared" si="4"/>
        <v>3</v>
      </c>
      <c r="F23" s="13">
        <f t="shared" si="5"/>
        <v>7999.9999999999982</v>
      </c>
      <c r="G23" s="13">
        <v>3</v>
      </c>
      <c r="H23" s="13">
        <v>2</v>
      </c>
      <c r="I23" s="13" t="s">
        <v>264</v>
      </c>
      <c r="K23" s="13" t="e">
        <f>IF(AND(RehabTypeValue=1,R.W.FIM_Motorv4&gt;18,WFIMHighGroupv4="C",R.W.FIM_Motorv4&gt;=19,R.W.FIM_Motorv4&lt;=42),"MATCH","###")</f>
        <v>#N/A</v>
      </c>
      <c r="L23" s="13" t="s">
        <v>307</v>
      </c>
      <c r="M23" s="13" t="s">
        <v>369</v>
      </c>
      <c r="N23" s="13" t="s">
        <v>308</v>
      </c>
    </row>
    <row r="24" spans="2:14">
      <c r="B24" s="13">
        <v>3.9</v>
      </c>
      <c r="C24" s="13" t="str">
        <f t="shared" si="3"/>
        <v>3.9 - Other neurological conditions</v>
      </c>
      <c r="D24" s="3" t="s">
        <v>17</v>
      </c>
      <c r="E24" s="13">
        <f t="shared" si="4"/>
        <v>3</v>
      </c>
      <c r="F24" s="13">
        <f t="shared" si="5"/>
        <v>9000</v>
      </c>
      <c r="G24" s="13">
        <v>3</v>
      </c>
      <c r="H24" s="13">
        <v>2</v>
      </c>
      <c r="I24" s="13" t="s">
        <v>264</v>
      </c>
      <c r="K24" s="13" t="e">
        <f>IF(AND(RehabTypeValue=1,R.W.FIM_Motorv4&gt;18,WFIMHighGroupv4="D",R.W.FIM_Motorv4&gt;=42,R.W.FIM_Motorv4&lt;=91,Agev4&gt;=50),"MATCH","###")</f>
        <v>#N/A</v>
      </c>
      <c r="L24" s="13" t="s">
        <v>309</v>
      </c>
      <c r="M24" s="13" t="s">
        <v>369</v>
      </c>
      <c r="N24" s="13" t="s">
        <v>310</v>
      </c>
    </row>
    <row r="25" spans="2:14">
      <c r="B25" s="13">
        <v>4.1109999999999998</v>
      </c>
      <c r="C25" s="13" t="str">
        <f t="shared" si="3"/>
        <v>4.111 - Spinal CordDysfunction, Non‐traumatic, Paraplegia, incomplete</v>
      </c>
      <c r="D25" s="3" t="s">
        <v>424</v>
      </c>
      <c r="E25" s="13">
        <f t="shared" si="4"/>
        <v>4</v>
      </c>
      <c r="F25" s="13">
        <f t="shared" si="5"/>
        <v>1109.9999999999977</v>
      </c>
      <c r="G25" s="13">
        <v>4</v>
      </c>
      <c r="H25" s="13">
        <v>1</v>
      </c>
      <c r="I25" s="13" t="s">
        <v>265</v>
      </c>
      <c r="K25" s="13" t="e">
        <f>IF(AND(RehabTypeValue=1,R.W.FIM_Motorv4&gt;18,WFIMHighGroupv4="D",R.W.FIM_Motorv4&gt;=19,R.W.FIM_Motorv4&lt;=41,Agev4&gt;=50),"MATCH","###")</f>
        <v>#N/A</v>
      </c>
      <c r="L25" s="13" t="s">
        <v>311</v>
      </c>
      <c r="M25" s="13" t="s">
        <v>369</v>
      </c>
      <c r="N25" s="13" t="s">
        <v>312</v>
      </c>
    </row>
    <row r="26" spans="2:14">
      <c r="B26" s="13">
        <v>4.1120000000000001</v>
      </c>
      <c r="C26" s="13" t="str">
        <f t="shared" si="3"/>
        <v>4.112 - Spinal CordDysfunction, Non‐traumatic, Paraplegia, complete</v>
      </c>
      <c r="D26" s="3" t="s">
        <v>425</v>
      </c>
      <c r="E26" s="13">
        <f t="shared" si="4"/>
        <v>4</v>
      </c>
      <c r="F26" s="13">
        <f t="shared" si="5"/>
        <v>1120.0000000000009</v>
      </c>
      <c r="G26" s="13">
        <v>4</v>
      </c>
      <c r="H26" s="13">
        <v>1</v>
      </c>
      <c r="I26" s="13" t="s">
        <v>265</v>
      </c>
      <c r="K26" s="13" t="e">
        <f>IF(AND(RehabTypeValue=1,R.W.FIM_Motorv4&gt;18,WFIMHighGroupv4="D",R.W.FIM_Motorv4&gt;=34,R.W.FIM_Motorv4&lt;=91,Agev4&lt;=49),"MATCH","###")</f>
        <v>#N/A</v>
      </c>
      <c r="L26" s="13" t="s">
        <v>313</v>
      </c>
      <c r="M26" s="13" t="s">
        <v>369</v>
      </c>
      <c r="N26" s="13" t="s">
        <v>314</v>
      </c>
    </row>
    <row r="27" spans="2:14">
      <c r="B27" s="13">
        <v>4.1211000000000002</v>
      </c>
      <c r="C27" s="13" t="str">
        <f t="shared" si="3"/>
        <v>4.1211 - Spinal CordDysfunction, Non‐traumatic, Quadriplegia incomplete C1‐4</v>
      </c>
      <c r="D27" s="3" t="s">
        <v>426</v>
      </c>
      <c r="E27" s="13">
        <f t="shared" si="4"/>
        <v>4</v>
      </c>
      <c r="F27" s="13">
        <f t="shared" si="5"/>
        <v>1211.000000000002</v>
      </c>
      <c r="G27" s="13">
        <v>4</v>
      </c>
      <c r="H27" s="13">
        <v>1</v>
      </c>
      <c r="I27" s="13" t="s">
        <v>265</v>
      </c>
      <c r="K27" s="13" t="e">
        <f>IF(AND(RehabTypeValue=1,R.W.FIM_Motorv4&gt;18,WFIMHighGroupv4="D",R.W.FIM_Motorv4&gt;=19,R.W.FIM_Motorv4&lt;=33,Agev4&lt;=49),"MATCH","###")</f>
        <v>#N/A</v>
      </c>
      <c r="L27" s="13" t="s">
        <v>315</v>
      </c>
      <c r="M27" s="13" t="s">
        <v>369</v>
      </c>
      <c r="N27" s="13" t="s">
        <v>316</v>
      </c>
    </row>
    <row r="28" spans="2:14">
      <c r="B28" s="13">
        <v>4.1212</v>
      </c>
      <c r="C28" s="13" t="str">
        <f t="shared" si="3"/>
        <v>4.1212 - Spinal CordDysfunction, Non‐traumatic, Quadriplegia incomplete C5‐8</v>
      </c>
      <c r="D28" s="3" t="s">
        <v>427</v>
      </c>
      <c r="E28" s="13">
        <f t="shared" si="4"/>
        <v>4</v>
      </c>
      <c r="F28" s="13">
        <f t="shared" si="5"/>
        <v>1211.9999999999998</v>
      </c>
      <c r="G28" s="13">
        <v>4</v>
      </c>
      <c r="H28" s="13">
        <v>1</v>
      </c>
      <c r="I28" s="13" t="s">
        <v>265</v>
      </c>
      <c r="K28" s="13" t="e">
        <f>IF(AND(RehabTypeValue=1,R.W.FIM_Motorv4&gt;18,WFIMHighGroupv4="E",R.W.FIM_Motorv4&gt;=68,R.W.FIM_Motorv4&lt;=91,Agev4&gt;=54),"MATCH","###")</f>
        <v>#N/A</v>
      </c>
      <c r="L28" s="13" t="s">
        <v>317</v>
      </c>
      <c r="M28" s="13" t="s">
        <v>369</v>
      </c>
      <c r="N28" s="13" t="s">
        <v>318</v>
      </c>
    </row>
    <row r="29" spans="2:14">
      <c r="B29" s="13">
        <v>4.1220999999999997</v>
      </c>
      <c r="C29" s="13" t="str">
        <f t="shared" si="3"/>
        <v>4.1221 - Spinal CordDysfunction, Non‐traumatic, Quadriplegia complete C1‐4</v>
      </c>
      <c r="D29" s="3" t="s">
        <v>428</v>
      </c>
      <c r="E29" s="13">
        <f t="shared" si="4"/>
        <v>4</v>
      </c>
      <c r="F29" s="13">
        <f t="shared" si="5"/>
        <v>1220.9999999999966</v>
      </c>
      <c r="G29" s="13">
        <v>4</v>
      </c>
      <c r="H29" s="13">
        <v>1</v>
      </c>
      <c r="I29" s="13" t="s">
        <v>265</v>
      </c>
      <c r="K29" s="13" t="e">
        <f>IF(AND(RehabTypeValue=1,R.W.FIM_Motorv4&gt;18,WFIMHighGroupv4="E",R.W.FIM_Motorv4&gt;=31,R.W.FIM_Motorv4&lt;=67,Agev4&gt;=54),"MATCH","###")</f>
        <v>#N/A</v>
      </c>
      <c r="L29" s="13" t="s">
        <v>319</v>
      </c>
      <c r="M29" s="13" t="s">
        <v>369</v>
      </c>
      <c r="N29" s="13" t="s">
        <v>320</v>
      </c>
    </row>
    <row r="30" spans="2:14">
      <c r="B30" s="13">
        <v>4.1222000000000003</v>
      </c>
      <c r="C30" s="13" t="str">
        <f t="shared" si="3"/>
        <v>4.1222 - Spinal CordDysfunction, Non‐traumatic, Quadriplegia complete C5‐8</v>
      </c>
      <c r="D30" s="3" t="s">
        <v>429</v>
      </c>
      <c r="E30" s="13">
        <f t="shared" si="4"/>
        <v>4</v>
      </c>
      <c r="F30" s="13">
        <f t="shared" si="5"/>
        <v>1222.0000000000032</v>
      </c>
      <c r="G30" s="13">
        <v>4</v>
      </c>
      <c r="H30" s="13">
        <v>1</v>
      </c>
      <c r="I30" s="13" t="s">
        <v>265</v>
      </c>
      <c r="K30" s="14" t="e">
        <f>IF(AND(RehabTypeValue=1,R.W.FIM_Motorv4&gt;18,WFIMHighGroupv4="E",R.W.FIM_Motorv4&gt;=19,R.W.FIM_Motorv4&lt;=30,Agev4&gt;=54),"MATCH","###")</f>
        <v>#N/A</v>
      </c>
      <c r="L30" s="13" t="s">
        <v>321</v>
      </c>
      <c r="M30" s="13" t="s">
        <v>369</v>
      </c>
      <c r="N30" s="13" t="s">
        <v>322</v>
      </c>
    </row>
    <row r="31" spans="2:14">
      <c r="B31" s="13">
        <v>4.13</v>
      </c>
      <c r="C31" s="13" t="str">
        <f t="shared" si="3"/>
        <v>4.13 - Other non‐traumatic spinal cord dysfunction</v>
      </c>
      <c r="D31" s="3" t="s">
        <v>18</v>
      </c>
      <c r="E31" s="13">
        <f t="shared" si="4"/>
        <v>4</v>
      </c>
      <c r="F31" s="13">
        <f t="shared" si="5"/>
        <v>1299.9999999999989</v>
      </c>
      <c r="G31" s="13">
        <v>4</v>
      </c>
      <c r="H31" s="13">
        <v>1</v>
      </c>
      <c r="I31" s="13" t="s">
        <v>265</v>
      </c>
      <c r="K31" s="13" t="e">
        <f>IF(AND(RehabTypeValue=1,R.W.FIM_Motorv4&gt;18,WFIMHighGroupv4="E",R.W.FIM_Motorv4&gt;=19,R.W.FIM_Motorv4&lt;=91,Agev4&lt;=53),"MATCH","###")</f>
        <v>#N/A</v>
      </c>
      <c r="L31" s="13" t="s">
        <v>323</v>
      </c>
      <c r="M31" s="13" t="s">
        <v>369</v>
      </c>
      <c r="N31" s="13" t="s">
        <v>324</v>
      </c>
    </row>
    <row r="32" spans="2:14">
      <c r="B32" s="13">
        <v>4.2110000000000003</v>
      </c>
      <c r="C32" s="13" t="str">
        <f t="shared" si="3"/>
        <v>4.211 - Spinal CordDysfunction, Traumatic, Paraplegia, incomplete</v>
      </c>
      <c r="D32" s="3" t="s">
        <v>19</v>
      </c>
      <c r="E32" s="13">
        <f t="shared" si="4"/>
        <v>4</v>
      </c>
      <c r="F32" s="13">
        <f t="shared" si="5"/>
        <v>2110.0000000000032</v>
      </c>
      <c r="G32" s="13">
        <v>4</v>
      </c>
      <c r="H32" s="13">
        <v>1</v>
      </c>
      <c r="I32" s="13" t="s">
        <v>265</v>
      </c>
      <c r="K32" s="13" t="e">
        <f>IF(AND(RehabTypeValue=1,R.W.FIM_Motorv4&gt;18,WFIMHighGroupv4="H",R.W.FIM_Motorv4&gt;=49,R.W.FIM_Motorv4&lt;=91,FIM_Cognition&lt;=35,FIM_Cognition&gt;=33),"MATCH","###")</f>
        <v>#N/A</v>
      </c>
      <c r="L32" s="13" t="s">
        <v>325</v>
      </c>
      <c r="M32" s="13" t="s">
        <v>369</v>
      </c>
      <c r="N32" s="13" t="s">
        <v>326</v>
      </c>
    </row>
    <row r="33" spans="2:14">
      <c r="B33" s="13">
        <v>4.2119999999999997</v>
      </c>
      <c r="C33" s="13" t="str">
        <f t="shared" si="3"/>
        <v>4.212 - Spinal CordDysfunction, Traumatic, Paraplegia, complete</v>
      </c>
      <c r="D33" s="3" t="s">
        <v>20</v>
      </c>
      <c r="E33" s="13">
        <f t="shared" si="4"/>
        <v>4</v>
      </c>
      <c r="F33" s="13">
        <f t="shared" si="5"/>
        <v>2119.9999999999973</v>
      </c>
      <c r="G33" s="13">
        <v>4</v>
      </c>
      <c r="H33" s="13">
        <v>1</v>
      </c>
      <c r="I33" s="13" t="s">
        <v>265</v>
      </c>
      <c r="K33" s="13" t="e">
        <f>IF(AND(RehabTypeValue=1,R.W.FIM_Motorv4&gt;18,WFIMHighGroupv4="H",R.W.FIM_Motorv4&gt;=49,R.W.FIM_Motorv4&lt;=91,FIM_Cognition&lt;=32,FIM_Cognition&gt;=5),"MATCH","###")</f>
        <v>#N/A</v>
      </c>
      <c r="L33" s="13" t="s">
        <v>327</v>
      </c>
      <c r="M33" s="13" t="s">
        <v>369</v>
      </c>
      <c r="N33" s="13" t="s">
        <v>328</v>
      </c>
    </row>
    <row r="34" spans="2:14">
      <c r="B34" s="13">
        <v>4.2210999999999999</v>
      </c>
      <c r="C34" s="13" t="str">
        <f t="shared" si="3"/>
        <v>4.2211 - Spinal CordDysfunction, Traumatic, Quadriplegia incomplete C1‐4</v>
      </c>
      <c r="D34" s="3" t="s">
        <v>430</v>
      </c>
      <c r="E34" s="13">
        <f t="shared" si="4"/>
        <v>4</v>
      </c>
      <c r="F34" s="13">
        <f t="shared" si="5"/>
        <v>2210.9999999999986</v>
      </c>
      <c r="G34" s="13">
        <v>4</v>
      </c>
      <c r="H34" s="13">
        <v>1</v>
      </c>
      <c r="I34" s="13" t="s">
        <v>265</v>
      </c>
      <c r="K34" s="13" t="e">
        <f>IF(AND(RehabTypeValue=1,R.W.FIM_Motorv4&gt;18,WFIMHighGroupv4="H",R.W.FIM_Motorv4&gt;=38,R.W.FIM_Motorv4&lt;=48),"MATCH","###")</f>
        <v>#N/A</v>
      </c>
      <c r="L34" s="13" t="s">
        <v>329</v>
      </c>
      <c r="M34" s="13" t="s">
        <v>369</v>
      </c>
      <c r="N34" s="13" t="s">
        <v>330</v>
      </c>
    </row>
    <row r="35" spans="2:14">
      <c r="B35" s="13">
        <v>4.2211999999999996</v>
      </c>
      <c r="C35" s="13" t="str">
        <f t="shared" si="3"/>
        <v>4.2212 - Spinal CordDysfunction, Traumatic, Quadriplegia incomplete C5‐8</v>
      </c>
      <c r="D35" s="3" t="s">
        <v>431</v>
      </c>
      <c r="E35" s="13">
        <f t="shared" si="4"/>
        <v>4</v>
      </c>
      <c r="F35" s="13">
        <f t="shared" si="5"/>
        <v>2211.9999999999964</v>
      </c>
      <c r="G35" s="13">
        <v>4</v>
      </c>
      <c r="H35" s="13">
        <v>1</v>
      </c>
      <c r="I35" s="13" t="s">
        <v>265</v>
      </c>
      <c r="K35" s="13" t="e">
        <f>IF(AND(RehabTypeValue=1,R.W.FIM_Motorv4&gt;18,WFIMHighGroupv4="H",R.W.FIM_Motorv4&gt;=19,R.W.FIM_Motorv4&lt;=37),"MATCH","###")</f>
        <v>#N/A</v>
      </c>
      <c r="L35" s="13" t="s">
        <v>331</v>
      </c>
      <c r="M35" s="13" t="s">
        <v>369</v>
      </c>
      <c r="N35" s="13" t="s">
        <v>332</v>
      </c>
    </row>
    <row r="36" spans="2:14">
      <c r="B36" s="13">
        <v>4.2221000000000002</v>
      </c>
      <c r="C36" s="13" t="str">
        <f t="shared" si="3"/>
        <v>4.2221 - Spinal CordDysfunction, Traumatic, Quadriplegia complete C1‐4</v>
      </c>
      <c r="D36" s="3" t="s">
        <v>432</v>
      </c>
      <c r="E36" s="13">
        <f t="shared" si="4"/>
        <v>4</v>
      </c>
      <c r="F36" s="13">
        <f t="shared" si="5"/>
        <v>2221.0000000000018</v>
      </c>
      <c r="G36" s="13">
        <v>4</v>
      </c>
      <c r="H36" s="13">
        <v>1</v>
      </c>
      <c r="I36" s="13" t="s">
        <v>265</v>
      </c>
      <c r="K36" s="13" t="e">
        <f>IF(AND(RehabTypeValue=1,R.W.FIM_Motorv4&gt;18,WFIMHighGroupv4=2,R.W.FIM_Motorv4&gt;=68,R.W.FIM_Motorv4&lt;=91),"MATCH","###")</f>
        <v>#N/A</v>
      </c>
      <c r="L36" s="13" t="s">
        <v>333</v>
      </c>
      <c r="M36" s="13" t="s">
        <v>369</v>
      </c>
      <c r="N36" s="13" t="s">
        <v>334</v>
      </c>
    </row>
    <row r="37" spans="2:14">
      <c r="B37" s="13">
        <v>4.2222</v>
      </c>
      <c r="C37" s="13" t="str">
        <f t="shared" si="3"/>
        <v>4.2222 - Spinal CordDysfunction, Traumatic, Quadriplegia complete C5‐8</v>
      </c>
      <c r="D37" s="3" t="s">
        <v>433</v>
      </c>
      <c r="E37" s="13">
        <f t="shared" si="4"/>
        <v>4</v>
      </c>
      <c r="F37" s="13">
        <f t="shared" si="5"/>
        <v>2221.9999999999995</v>
      </c>
      <c r="G37" s="13">
        <v>4</v>
      </c>
      <c r="H37" s="13">
        <v>1</v>
      </c>
      <c r="I37" s="13" t="s">
        <v>265</v>
      </c>
      <c r="K37" s="13" t="e">
        <f>IF(AND(RehabTypeValue=1,R.W.FIM_Motorv4&gt;18,WFIMHighGroupv4=2,R.W.FIM_Motorv4&gt;=50,R.W.FIM_Motorv4&lt;=67),"MATCH","###")</f>
        <v>#N/A</v>
      </c>
      <c r="L37" s="13" t="s">
        <v>335</v>
      </c>
      <c r="M37" s="13" t="s">
        <v>369</v>
      </c>
      <c r="N37" s="13" t="s">
        <v>336</v>
      </c>
    </row>
    <row r="38" spans="2:14">
      <c r="B38" s="13">
        <v>4.2300000000000004</v>
      </c>
      <c r="C38" s="13" t="str">
        <f t="shared" si="3"/>
        <v>4.23 - Other traumatic spinal cord dysfunction</v>
      </c>
      <c r="D38" s="3" t="s">
        <v>480</v>
      </c>
      <c r="E38" s="13">
        <f t="shared" si="4"/>
        <v>4</v>
      </c>
      <c r="F38" s="13">
        <f t="shared" si="5"/>
        <v>2300.0000000000041</v>
      </c>
      <c r="G38" s="13">
        <v>4</v>
      </c>
      <c r="H38" s="13">
        <v>1</v>
      </c>
      <c r="I38" s="13" t="s">
        <v>265</v>
      </c>
      <c r="K38" s="13" t="e">
        <f>IF(AND(RehabTypeValue=1,R.W.FIM_Motorv4&gt;18,WFIMHighGroupv4=2,R.W.FIM_Motorv4&gt;=19,R.W.FIM_Motorv4&lt;=49),"MATCH","###")</f>
        <v>#N/A</v>
      </c>
      <c r="L38" s="13" t="s">
        <v>337</v>
      </c>
      <c r="M38" s="13" t="s">
        <v>369</v>
      </c>
      <c r="N38" s="13" t="s">
        <v>338</v>
      </c>
    </row>
    <row r="39" spans="2:14">
      <c r="B39" s="13">
        <v>5.1100000000000003</v>
      </c>
      <c r="C39" s="13" t="str">
        <f t="shared" si="3"/>
        <v>5.11 - Amputation of Limb, Non traumatic, Single upper amputation above the elbow</v>
      </c>
      <c r="D39" s="3" t="s">
        <v>434</v>
      </c>
      <c r="E39" s="13">
        <f t="shared" si="4"/>
        <v>5</v>
      </c>
      <c r="F39" s="13">
        <f t="shared" si="5"/>
        <v>1100.0000000000032</v>
      </c>
      <c r="G39" s="13">
        <v>5</v>
      </c>
      <c r="H39" s="13">
        <v>2</v>
      </c>
      <c r="I39" s="13" t="s">
        <v>266</v>
      </c>
      <c r="K39" s="13" t="e">
        <f>IF(AND(RehabTypeValue=1,R.W.FIM_Motorv4&gt;18,WFIMHighGroupv4=3,R.W.FIM_Motorv4&gt;=72,R.W.FIM_Motorv4&lt;=91),"MATCH","###")</f>
        <v>#N/A</v>
      </c>
      <c r="L39" s="13" t="s">
        <v>339</v>
      </c>
      <c r="M39" s="13" t="s">
        <v>369</v>
      </c>
      <c r="N39" s="13" t="s">
        <v>340</v>
      </c>
    </row>
    <row r="40" spans="2:14">
      <c r="B40" s="13">
        <v>5.12</v>
      </c>
      <c r="C40" s="13" t="str">
        <f t="shared" si="3"/>
        <v>5.12 - Amputation of Limb, Non traumatic, Single upper amputation below the elbow</v>
      </c>
      <c r="D40" s="3" t="s">
        <v>435</v>
      </c>
      <c r="E40" s="13">
        <f t="shared" si="4"/>
        <v>5</v>
      </c>
      <c r="F40" s="13">
        <f t="shared" si="5"/>
        <v>1200.0000000000011</v>
      </c>
      <c r="G40" s="13">
        <v>5</v>
      </c>
      <c r="H40" s="13">
        <v>2</v>
      </c>
      <c r="I40" s="13" t="s">
        <v>266</v>
      </c>
      <c r="K40" s="13" t="e">
        <f>IF(AND(RehabTypeValue=1,R.W.FIM_Motorv4&gt;18,WFIMHighGroupv4=3,R.W.FIM_Motorv4&gt;=55,R.W.FIM_Motorv4&lt;=71),"MATCH","###")</f>
        <v>#N/A</v>
      </c>
      <c r="L40" s="13" t="s">
        <v>341</v>
      </c>
      <c r="M40" s="13" t="s">
        <v>369</v>
      </c>
      <c r="N40" s="13" t="s">
        <v>342</v>
      </c>
    </row>
    <row r="41" spans="2:14">
      <c r="B41" s="13">
        <v>5.13</v>
      </c>
      <c r="C41" s="13" t="str">
        <f t="shared" si="3"/>
        <v>5.13 - Amputation of Limb, Non traumatic, Single lower amputation above the knee</v>
      </c>
      <c r="D41" s="3" t="s">
        <v>436</v>
      </c>
      <c r="E41" s="13">
        <f t="shared" si="4"/>
        <v>5</v>
      </c>
      <c r="F41" s="13">
        <f t="shared" si="5"/>
        <v>1299.9999999999989</v>
      </c>
      <c r="G41" s="13">
        <v>5</v>
      </c>
      <c r="H41" s="13">
        <v>2</v>
      </c>
      <c r="I41" s="13" t="s">
        <v>266</v>
      </c>
      <c r="K41" s="13" t="e">
        <f>IF(AND(RehabTypeValue=1,R.W.FIM_Motorv4&gt;18,WFIMHighGroupv4=3,R.W.FIM_Motorv4&gt;=34,R.W.FIM_Motorv4&lt;=54),"MATCH","###")</f>
        <v>#N/A</v>
      </c>
      <c r="L41" s="13" t="s">
        <v>343</v>
      </c>
      <c r="M41" s="13" t="s">
        <v>369</v>
      </c>
      <c r="N41" s="13" t="s">
        <v>344</v>
      </c>
    </row>
    <row r="42" spans="2:14">
      <c r="B42" s="13">
        <v>5.14</v>
      </c>
      <c r="C42" s="13" t="str">
        <f t="shared" si="3"/>
        <v>5.14 - Amputation of Limb, Non traumatic, Single lower amputation below the knee</v>
      </c>
      <c r="D42" s="3" t="s">
        <v>437</v>
      </c>
      <c r="E42" s="13">
        <f t="shared" si="4"/>
        <v>5</v>
      </c>
      <c r="F42" s="13">
        <f t="shared" si="5"/>
        <v>1399.9999999999968</v>
      </c>
      <c r="G42" s="13">
        <v>5</v>
      </c>
      <c r="H42" s="13">
        <v>2</v>
      </c>
      <c r="I42" s="13" t="s">
        <v>266</v>
      </c>
      <c r="K42" s="13" t="e">
        <f>IF(AND(RehabTypeValue=1,R.W.FIM_Motorv4&gt;18,WFIMHighGroupv4=3,R.W.FIM_Motorv4&gt;=19,R.W.FIM_Motorv4&lt;=33),"MATCH","###")</f>
        <v>#N/A</v>
      </c>
      <c r="L42" s="13" t="s">
        <v>345</v>
      </c>
      <c r="M42" s="13" t="s">
        <v>369</v>
      </c>
      <c r="N42" s="13" t="s">
        <v>346</v>
      </c>
    </row>
    <row r="43" spans="2:14">
      <c r="B43" s="13">
        <v>5.15</v>
      </c>
      <c r="C43" s="13" t="str">
        <f t="shared" si="3"/>
        <v>5.15 - Amputation of Limb, Non traumatic, Double lower amputation above the knee</v>
      </c>
      <c r="D43" s="3" t="s">
        <v>438</v>
      </c>
      <c r="E43" s="13">
        <f t="shared" si="4"/>
        <v>5</v>
      </c>
      <c r="F43" s="13">
        <f t="shared" si="5"/>
        <v>1500.0000000000036</v>
      </c>
      <c r="G43" s="13">
        <v>5</v>
      </c>
      <c r="H43" s="13">
        <v>2</v>
      </c>
      <c r="I43" s="13" t="s">
        <v>266</v>
      </c>
      <c r="K43" s="13" t="e">
        <f>IF(AND(RehabTypeValue=1,R.W.FIM_Motorv4&gt;18,WFIMHighGroupv4="P",R.W.FIM_Motorv4&gt;=19,R.W.FIM_Motorv4&lt;=91),"MATCH","###")</f>
        <v>#N/A</v>
      </c>
      <c r="L43" s="13" t="s">
        <v>347</v>
      </c>
      <c r="M43" s="13" t="s">
        <v>369</v>
      </c>
      <c r="N43" s="13" t="s">
        <v>348</v>
      </c>
    </row>
    <row r="44" spans="2:14">
      <c r="B44" s="13">
        <v>5.16</v>
      </c>
      <c r="C44" s="13" t="str">
        <f t="shared" si="3"/>
        <v>5.16 - Amputation of Limb, Non traumatic, Double lower amputation above/below the knee</v>
      </c>
      <c r="D44" s="3" t="s">
        <v>439</v>
      </c>
      <c r="E44" s="13">
        <f t="shared" si="4"/>
        <v>5</v>
      </c>
      <c r="F44" s="13">
        <f t="shared" si="5"/>
        <v>1600.0000000000014</v>
      </c>
      <c r="G44" s="13">
        <v>5</v>
      </c>
      <c r="H44" s="13">
        <v>2</v>
      </c>
      <c r="I44" s="13" t="s">
        <v>266</v>
      </c>
      <c r="K44" s="13" t="e">
        <f>IF(AND(RehabTypeValue=1,R.W.FIM_Motorv4&gt;18,WFIMHighGroupv4="R",R.W.FIM_Motorv4&gt;=67,R.W.FIM_Motorv4&lt;=91),"MATCH","###")</f>
        <v>#N/A</v>
      </c>
      <c r="L44" s="13" t="s">
        <v>349</v>
      </c>
      <c r="M44" s="13" t="s">
        <v>369</v>
      </c>
      <c r="N44" s="13" t="s">
        <v>350</v>
      </c>
    </row>
    <row r="45" spans="2:14">
      <c r="B45" s="13">
        <v>5.17</v>
      </c>
      <c r="C45" s="13" t="str">
        <f t="shared" si="3"/>
        <v>5.17 - Amputation of Limb, Non traumatic, Double lower amputation below the knee</v>
      </c>
      <c r="D45" s="3" t="s">
        <v>405</v>
      </c>
      <c r="E45" s="13">
        <f t="shared" si="4"/>
        <v>5</v>
      </c>
      <c r="F45" s="13">
        <f t="shared" si="5"/>
        <v>1699.9999999999993</v>
      </c>
      <c r="G45" s="13">
        <v>5</v>
      </c>
      <c r="H45" s="13">
        <v>2</v>
      </c>
      <c r="I45" s="13" t="s">
        <v>266</v>
      </c>
      <c r="K45" s="13" t="e">
        <f>IF(AND(RehabTypeValue=1,R.W.FIM_Motorv4&gt;18,WFIMHighGroupv4="R",R.W.FIM_Motorv4&gt;=50,R.W.FIM_Motorv4&lt;=66,FIM_Cognition&lt;=35,FIM_Cognition&gt;=26),"MATCH","###")</f>
        <v>#N/A</v>
      </c>
      <c r="L45" s="13" t="s">
        <v>351</v>
      </c>
      <c r="M45" s="13" t="s">
        <v>369</v>
      </c>
      <c r="N45" s="13" t="s">
        <v>352</v>
      </c>
    </row>
    <row r="46" spans="2:14">
      <c r="B46" s="13">
        <v>5.18</v>
      </c>
      <c r="C46" s="13" t="str">
        <f t="shared" si="3"/>
        <v>5.18 - Amputation of Limb, Non traumatic, Partial foot amputation (includes single/double)</v>
      </c>
      <c r="D46" s="3" t="s">
        <v>445</v>
      </c>
      <c r="E46" s="13">
        <f t="shared" si="4"/>
        <v>5</v>
      </c>
      <c r="F46" s="13">
        <f t="shared" si="5"/>
        <v>1799.9999999999973</v>
      </c>
      <c r="G46" s="13">
        <v>5</v>
      </c>
      <c r="H46" s="13">
        <v>2</v>
      </c>
      <c r="I46" s="13" t="s">
        <v>266</v>
      </c>
      <c r="K46" s="13" t="e">
        <f>IF(AND(RehabTypeValue=1,R.W.FIM_Motorv4&gt;18,WFIMHighGroupv4="R",R.W.FIM_Motorv4&gt;=50,R.W.FIM_Motorv4&lt;=66,FIM_Cognition&lt;=25,FIM_Cognition&gt;=5),"MATCH","###")</f>
        <v>#N/A</v>
      </c>
      <c r="L46" s="13" t="s">
        <v>353</v>
      </c>
      <c r="M46" s="13" t="s">
        <v>369</v>
      </c>
      <c r="N46" s="13" t="s">
        <v>354</v>
      </c>
    </row>
    <row r="47" spans="2:14">
      <c r="B47" s="13">
        <v>5.19</v>
      </c>
      <c r="C47" s="13" t="str">
        <f t="shared" si="3"/>
        <v>5.19 - Other non‐traumatic amputation</v>
      </c>
      <c r="D47" s="3" t="s">
        <v>22</v>
      </c>
      <c r="E47" s="13">
        <f t="shared" si="4"/>
        <v>5</v>
      </c>
      <c r="F47" s="13">
        <f t="shared" si="5"/>
        <v>1900.0000000000039</v>
      </c>
      <c r="G47" s="13">
        <v>5</v>
      </c>
      <c r="H47" s="13">
        <v>2</v>
      </c>
      <c r="I47" s="13" t="s">
        <v>266</v>
      </c>
      <c r="K47" s="13" t="e">
        <f>IF(AND(RehabTypeValue=1,R.W.FIM_Motorv4&gt;18,WFIMHighGroupv4="R",R.W.FIM_Motorv4&gt;=34,R.W.FIM_Motorv4&lt;=49,FIM_Cognition&lt;=35,FIM_Cognition&gt;=31),"MATCH","###")</f>
        <v>#N/A</v>
      </c>
      <c r="L47" s="13" t="s">
        <v>355</v>
      </c>
      <c r="M47" s="13" t="s">
        <v>369</v>
      </c>
      <c r="N47" s="13" t="s">
        <v>356</v>
      </c>
    </row>
    <row r="48" spans="2:14">
      <c r="B48" s="13">
        <v>5.21</v>
      </c>
      <c r="C48" s="13" t="str">
        <f t="shared" si="3"/>
        <v>5.21 - Amputation of Limb, Traumatic, Single upper amputation above the elbow</v>
      </c>
      <c r="D48" s="3" t="s">
        <v>23</v>
      </c>
      <c r="E48" s="13">
        <f t="shared" si="4"/>
        <v>5</v>
      </c>
      <c r="F48" s="13">
        <f t="shared" si="5"/>
        <v>2099.9999999999995</v>
      </c>
      <c r="G48" s="13">
        <v>5</v>
      </c>
      <c r="H48" s="13">
        <v>2</v>
      </c>
      <c r="I48" s="13" t="s">
        <v>266</v>
      </c>
      <c r="K48" s="13" t="e">
        <f>IF(AND(RehabTypeValue=1,R.W.FIM_Motorv4&gt;18,WFIMHighGroupv4="R",R.W.FIM_Motorv4&gt;=34,R.W.FIM_Motorv4&lt;=49,FIM_Cognition&lt;=30,FIM_Cognition&gt;=5),"MATCH","###")</f>
        <v>#N/A</v>
      </c>
      <c r="L48" s="13" t="s">
        <v>357</v>
      </c>
      <c r="M48" s="13" t="s">
        <v>369</v>
      </c>
      <c r="N48" s="13" t="s">
        <v>358</v>
      </c>
    </row>
    <row r="49" spans="2:14">
      <c r="B49" s="13">
        <v>5.22</v>
      </c>
      <c r="C49" s="13" t="str">
        <f t="shared" si="3"/>
        <v>5.22 - Amputation of Limb, Traumatic, Single upper amputation below the elbow</v>
      </c>
      <c r="D49" s="3" t="s">
        <v>24</v>
      </c>
      <c r="E49" s="13">
        <f t="shared" si="4"/>
        <v>5</v>
      </c>
      <c r="F49" s="13">
        <f t="shared" si="5"/>
        <v>2199.9999999999977</v>
      </c>
      <c r="G49" s="13">
        <v>5</v>
      </c>
      <c r="H49" s="13">
        <v>2</v>
      </c>
      <c r="I49" s="13" t="s">
        <v>266</v>
      </c>
      <c r="K49" s="13" t="e">
        <f>IF(AND(RehabTypeValue=1,R.W.FIM_Motorv4&gt;18,WFIMHighGroupv4="R",R.W.FIM_Motorv4&gt;=19,R.W.FIM_Motorv4&lt;=33),"MATCH","###")</f>
        <v>#N/A</v>
      </c>
      <c r="L49" s="13" t="s">
        <v>359</v>
      </c>
      <c r="M49" s="13" t="s">
        <v>369</v>
      </c>
      <c r="N49" s="13" t="s">
        <v>360</v>
      </c>
    </row>
    <row r="50" spans="2:14">
      <c r="B50" s="13">
        <v>5.23</v>
      </c>
      <c r="C50" s="13" t="str">
        <f t="shared" si="3"/>
        <v>5.23 - Amputation of Limb, Traumatic, Single lower amputation above the knee</v>
      </c>
      <c r="D50" s="3" t="s">
        <v>25</v>
      </c>
      <c r="E50" s="13">
        <f t="shared" si="4"/>
        <v>5</v>
      </c>
      <c r="F50" s="13">
        <f t="shared" si="5"/>
        <v>2300.0000000000041</v>
      </c>
      <c r="G50" s="13">
        <v>5</v>
      </c>
      <c r="H50" s="13">
        <v>2</v>
      </c>
      <c r="I50" s="13" t="s">
        <v>266</v>
      </c>
      <c r="K50" s="13" t="e">
        <f>IF(AND(RehabTypeValue=1,R.W.FIM_Motorv4&gt;18,WFIMHighGroupv4=9,R.W.FIM_Motorv4&gt;=55,R.W.FIM_Motorv4&lt;=91),"MATCH","###")</f>
        <v>#N/A</v>
      </c>
      <c r="L50" s="13" t="s">
        <v>361</v>
      </c>
      <c r="M50" s="13" t="s">
        <v>369</v>
      </c>
      <c r="N50" s="13" t="s">
        <v>362</v>
      </c>
    </row>
    <row r="51" spans="2:14">
      <c r="B51" s="13">
        <v>5.24</v>
      </c>
      <c r="C51" s="13" t="str">
        <f t="shared" ref="C51:C68" si="6">CONCATENATE(B51," - ",D51)</f>
        <v>5.24 - Amputation of Limb, Traumatic, Single lower amputation below the knee</v>
      </c>
      <c r="D51" s="3" t="s">
        <v>26</v>
      </c>
      <c r="E51" s="13">
        <f t="shared" ref="E51:E68" si="7">ROUNDDOWN(B51,0)</f>
        <v>5</v>
      </c>
      <c r="F51" s="13">
        <f t="shared" ref="F51:F68" si="8">(B51-E51)*10000</f>
        <v>2400.0000000000023</v>
      </c>
      <c r="G51" s="13">
        <v>5</v>
      </c>
      <c r="H51" s="13">
        <v>2</v>
      </c>
      <c r="I51" s="13" t="s">
        <v>266</v>
      </c>
      <c r="K51" s="13" t="e">
        <f>IF(AND(RehabTypeValue=1,R.W.FIM_Motorv4&gt;18,WFIMHighGroupv4=9,R.W.FIM_Motorv4&gt;=33,R.W.FIM_Motorv4&lt;=54),"MATCH","###")</f>
        <v>#N/A</v>
      </c>
      <c r="L51" s="13" t="s">
        <v>363</v>
      </c>
      <c r="M51" s="13" t="s">
        <v>369</v>
      </c>
      <c r="N51" s="13" t="s">
        <v>364</v>
      </c>
    </row>
    <row r="52" spans="2:14">
      <c r="B52" s="13">
        <v>5.25</v>
      </c>
      <c r="C52" s="13" t="str">
        <f t="shared" si="6"/>
        <v>5.25 - Amputation of Limb, Traumatic, Double lower amputation above the knee</v>
      </c>
      <c r="D52" s="3" t="s">
        <v>440</v>
      </c>
      <c r="E52" s="13">
        <f t="shared" si="7"/>
        <v>5</v>
      </c>
      <c r="F52" s="13">
        <f t="shared" si="8"/>
        <v>2500</v>
      </c>
      <c r="G52" s="13">
        <v>5</v>
      </c>
      <c r="H52" s="13">
        <v>2</v>
      </c>
      <c r="I52" s="13" t="s">
        <v>266</v>
      </c>
      <c r="K52" s="13" t="e">
        <f>IF(AND(RehabTypeValue=1,R.W.FIM_Motorv4&gt;18,WFIMHighGroupv4=9,R.W.FIM_Motorv4&gt;=19,R.W.FIM_Motorv4&lt;=32),"MATCH","###")</f>
        <v>#N/A</v>
      </c>
      <c r="L52" s="13" t="s">
        <v>365</v>
      </c>
      <c r="M52" s="13" t="s">
        <v>369</v>
      </c>
      <c r="N52" s="13" t="s">
        <v>366</v>
      </c>
    </row>
    <row r="53" spans="2:14">
      <c r="B53" s="13">
        <v>5.26</v>
      </c>
      <c r="C53" s="13" t="str">
        <f t="shared" si="6"/>
        <v>5.26 - Amputation of Limb, Traumatic, Double lower amputation above/below the knee</v>
      </c>
      <c r="D53" s="3" t="s">
        <v>441</v>
      </c>
      <c r="E53" s="13">
        <f t="shared" si="7"/>
        <v>5</v>
      </c>
      <c r="F53" s="13">
        <f t="shared" si="8"/>
        <v>2599.9999999999977</v>
      </c>
      <c r="G53" s="13">
        <v>5</v>
      </c>
      <c r="H53" s="13">
        <v>2</v>
      </c>
      <c r="I53" s="13" t="s">
        <v>266</v>
      </c>
      <c r="L53" s="13" t="s">
        <v>367</v>
      </c>
      <c r="M53" s="13" t="s">
        <v>369</v>
      </c>
      <c r="N53" s="13" t="s">
        <v>368</v>
      </c>
    </row>
    <row r="54" spans="2:14">
      <c r="B54" s="13">
        <v>5.27</v>
      </c>
      <c r="C54" s="13" t="str">
        <f t="shared" si="6"/>
        <v>5.27 - Amputation of Limb, Traumatic, Double lower amputation below the knee</v>
      </c>
      <c r="D54" s="3" t="s">
        <v>442</v>
      </c>
      <c r="E54" s="13">
        <f t="shared" si="7"/>
        <v>5</v>
      </c>
      <c r="F54" s="13">
        <f t="shared" si="8"/>
        <v>2699.9999999999959</v>
      </c>
      <c r="G54" s="13">
        <v>5</v>
      </c>
      <c r="H54" s="13">
        <v>2</v>
      </c>
      <c r="I54" s="13" t="s">
        <v>266</v>
      </c>
    </row>
    <row r="55" spans="2:14">
      <c r="B55" s="13">
        <v>5.28</v>
      </c>
      <c r="C55" s="13" t="str">
        <f t="shared" si="6"/>
        <v>5.28 - Amputation of Limb, Traumatic, Partial foot amputation (includes single/double)</v>
      </c>
      <c r="D55" s="3" t="s">
        <v>444</v>
      </c>
      <c r="E55" s="13">
        <f t="shared" si="7"/>
        <v>5</v>
      </c>
      <c r="F55" s="13">
        <f t="shared" si="8"/>
        <v>2800.0000000000023</v>
      </c>
      <c r="G55" s="13">
        <v>5</v>
      </c>
      <c r="H55" s="13">
        <v>2</v>
      </c>
      <c r="I55" s="13" t="s">
        <v>266</v>
      </c>
    </row>
    <row r="56" spans="2:14">
      <c r="B56" s="13">
        <v>5.29</v>
      </c>
      <c r="C56" s="13" t="str">
        <f t="shared" si="6"/>
        <v>5.29 - Othertraumatic amputation</v>
      </c>
      <c r="D56" s="3" t="s">
        <v>27</v>
      </c>
      <c r="E56" s="13">
        <f t="shared" si="7"/>
        <v>5</v>
      </c>
      <c r="F56" s="13">
        <f t="shared" si="8"/>
        <v>2900.0000000000005</v>
      </c>
      <c r="G56" s="13">
        <v>5</v>
      </c>
      <c r="H56" s="13">
        <v>2</v>
      </c>
      <c r="I56" s="13" t="s">
        <v>266</v>
      </c>
    </row>
    <row r="57" spans="2:14">
      <c r="B57" s="13">
        <v>6.1</v>
      </c>
      <c r="C57" s="13" t="str">
        <f t="shared" si="6"/>
        <v>6.1 - Arthritis, Rheumatoid arthritis</v>
      </c>
      <c r="D57" s="3" t="s">
        <v>28</v>
      </c>
      <c r="E57" s="13">
        <f t="shared" si="7"/>
        <v>6</v>
      </c>
      <c r="F57" s="13">
        <f t="shared" si="8"/>
        <v>999.99999999999648</v>
      </c>
      <c r="G57" s="13">
        <v>6</v>
      </c>
      <c r="H57" s="13">
        <v>2</v>
      </c>
      <c r="I57" s="13">
        <v>9</v>
      </c>
    </row>
    <row r="58" spans="2:14">
      <c r="B58" s="13">
        <v>6.2</v>
      </c>
      <c r="C58" s="13" t="str">
        <f t="shared" si="6"/>
        <v>6.2 - Arthritis, Osteoarthritis</v>
      </c>
      <c r="D58" s="3" t="s">
        <v>443</v>
      </c>
      <c r="E58" s="13">
        <f t="shared" si="7"/>
        <v>6</v>
      </c>
      <c r="F58" s="13">
        <f t="shared" si="8"/>
        <v>2000.0000000000018</v>
      </c>
      <c r="G58" s="13">
        <v>6</v>
      </c>
      <c r="H58" s="13">
        <v>2</v>
      </c>
      <c r="I58" s="13">
        <v>9</v>
      </c>
    </row>
    <row r="59" spans="2:14">
      <c r="B59" s="13">
        <v>6.9</v>
      </c>
      <c r="C59" s="13" t="str">
        <f t="shared" si="6"/>
        <v>6.9 - Other arthritis</v>
      </c>
      <c r="D59" s="3" t="s">
        <v>29</v>
      </c>
      <c r="E59" s="13">
        <f t="shared" si="7"/>
        <v>6</v>
      </c>
      <c r="F59" s="13">
        <f t="shared" si="8"/>
        <v>9000.0000000000036</v>
      </c>
      <c r="G59" s="13">
        <v>6</v>
      </c>
      <c r="H59" s="13">
        <v>2</v>
      </c>
      <c r="I59" s="13">
        <v>9</v>
      </c>
    </row>
    <row r="60" spans="2:14">
      <c r="B60" s="13">
        <v>7.1</v>
      </c>
      <c r="C60" s="13" t="str">
        <f t="shared" si="6"/>
        <v>7.1 - Pain, Neck pain</v>
      </c>
      <c r="D60" s="3" t="s">
        <v>446</v>
      </c>
      <c r="E60" s="13">
        <f t="shared" si="7"/>
        <v>7</v>
      </c>
      <c r="F60" s="13">
        <f t="shared" si="8"/>
        <v>999.99999999999648</v>
      </c>
      <c r="G60" s="13">
        <v>7</v>
      </c>
      <c r="H60" s="13">
        <v>2</v>
      </c>
      <c r="I60" s="13">
        <v>3</v>
      </c>
    </row>
    <row r="61" spans="2:14">
      <c r="B61" s="13">
        <v>7.2</v>
      </c>
      <c r="C61" s="13" t="str">
        <f t="shared" si="6"/>
        <v>7.2 - Pain, Back pain</v>
      </c>
      <c r="D61" s="3" t="s">
        <v>30</v>
      </c>
      <c r="E61" s="13">
        <f t="shared" si="7"/>
        <v>7</v>
      </c>
      <c r="F61" s="13">
        <f t="shared" si="8"/>
        <v>2000.0000000000018</v>
      </c>
      <c r="G61" s="13">
        <v>7</v>
      </c>
      <c r="H61" s="13">
        <v>2</v>
      </c>
      <c r="I61" s="13">
        <v>3</v>
      </c>
    </row>
    <row r="62" spans="2:14">
      <c r="B62" s="13">
        <v>7.3</v>
      </c>
      <c r="C62" s="13" t="str">
        <f t="shared" si="6"/>
        <v>7.3 - Pain, Extremity pain</v>
      </c>
      <c r="D62" s="3" t="s">
        <v>31</v>
      </c>
      <c r="E62" s="13">
        <f t="shared" si="7"/>
        <v>7</v>
      </c>
      <c r="F62" s="13">
        <f t="shared" si="8"/>
        <v>2999.9999999999982</v>
      </c>
      <c r="G62" s="13">
        <v>7</v>
      </c>
      <c r="H62" s="13">
        <v>2</v>
      </c>
      <c r="I62" s="13">
        <v>3</v>
      </c>
    </row>
    <row r="63" spans="2:14">
      <c r="B63" s="13">
        <v>7.4</v>
      </c>
      <c r="C63" s="13" t="str">
        <f t="shared" si="6"/>
        <v>7.4 - Pain, Headache (includes migraine)</v>
      </c>
      <c r="D63" s="3" t="s">
        <v>447</v>
      </c>
      <c r="E63" s="13">
        <f t="shared" si="7"/>
        <v>7</v>
      </c>
      <c r="F63" s="13">
        <f t="shared" si="8"/>
        <v>4000.0000000000036</v>
      </c>
      <c r="G63" s="13">
        <v>7</v>
      </c>
      <c r="H63" s="13">
        <v>2</v>
      </c>
      <c r="I63" s="13">
        <v>3</v>
      </c>
    </row>
    <row r="64" spans="2:14">
      <c r="B64" s="13">
        <v>7.5</v>
      </c>
      <c r="C64" s="13" t="str">
        <f t="shared" si="6"/>
        <v>7.5 - Pain, Multi‐site pain</v>
      </c>
      <c r="D64" s="3" t="s">
        <v>32</v>
      </c>
      <c r="E64" s="13">
        <f t="shared" si="7"/>
        <v>7</v>
      </c>
      <c r="F64" s="13">
        <f t="shared" si="8"/>
        <v>5000</v>
      </c>
      <c r="G64" s="13">
        <v>7</v>
      </c>
      <c r="H64" s="13">
        <v>2</v>
      </c>
      <c r="I64" s="13">
        <v>3</v>
      </c>
    </row>
    <row r="65" spans="2:13">
      <c r="B65" s="13">
        <v>7.9</v>
      </c>
      <c r="C65" s="13" t="str">
        <f t="shared" si="6"/>
        <v>7.9 - Other pain</v>
      </c>
      <c r="D65" s="3" t="s">
        <v>33</v>
      </c>
      <c r="E65" s="13">
        <f t="shared" si="7"/>
        <v>7</v>
      </c>
      <c r="F65" s="13">
        <f t="shared" si="8"/>
        <v>9000.0000000000036</v>
      </c>
      <c r="G65" s="13">
        <v>7</v>
      </c>
      <c r="H65" s="13">
        <v>2</v>
      </c>
      <c r="I65" s="13">
        <v>3</v>
      </c>
    </row>
    <row r="66" spans="2:13">
      <c r="B66" s="13">
        <v>8.1110000000000007</v>
      </c>
      <c r="C66" s="13" t="str">
        <f t="shared" si="6"/>
        <v>8.111 - Orthopaedic Conditions, Fracture of hip, unilateral (includes #NOF)</v>
      </c>
      <c r="D66" s="3" t="s">
        <v>448</v>
      </c>
      <c r="E66" s="13">
        <f t="shared" si="7"/>
        <v>8</v>
      </c>
      <c r="F66" s="13">
        <f t="shared" si="8"/>
        <v>1110.0000000000066</v>
      </c>
      <c r="G66" s="13">
        <v>81</v>
      </c>
      <c r="H66" s="13">
        <v>2</v>
      </c>
      <c r="I66" s="13" t="s">
        <v>267</v>
      </c>
    </row>
    <row r="67" spans="2:13">
      <c r="B67" s="13">
        <v>8.1120000000000001</v>
      </c>
      <c r="C67" s="13" t="str">
        <f t="shared" si="6"/>
        <v>8.112 - Orthopaedic Conditions, Fracture of hip, bilateral (includes #NOF)</v>
      </c>
      <c r="D67" s="3" t="s">
        <v>449</v>
      </c>
      <c r="E67" s="13">
        <f t="shared" si="7"/>
        <v>8</v>
      </c>
      <c r="F67" s="13">
        <f t="shared" si="8"/>
        <v>1120.0000000000009</v>
      </c>
      <c r="G67" s="13">
        <v>81</v>
      </c>
      <c r="H67" s="13">
        <v>2</v>
      </c>
      <c r="I67" s="13" t="s">
        <v>267</v>
      </c>
    </row>
    <row r="68" spans="2:13">
      <c r="B68" s="13">
        <v>8.1199999999999992</v>
      </c>
      <c r="C68" s="13" t="str">
        <f t="shared" si="6"/>
        <v>8.12 - Orthopaedic Conditions, Fracture of shaft of femur (excludes femur involving knee joint)</v>
      </c>
      <c r="D68" s="3" t="s">
        <v>450</v>
      </c>
      <c r="E68" s="13">
        <f t="shared" si="7"/>
        <v>8</v>
      </c>
      <c r="F68" s="13">
        <f t="shared" si="8"/>
        <v>1199.9999999999923</v>
      </c>
      <c r="G68" s="13">
        <v>81</v>
      </c>
      <c r="H68" s="13">
        <v>2</v>
      </c>
      <c r="I68" s="13" t="s">
        <v>267</v>
      </c>
    </row>
    <row r="69" spans="2:13">
      <c r="B69" s="13">
        <v>8.1300000000000008</v>
      </c>
      <c r="C69" s="13" t="str">
        <f t="shared" ref="C69:C103" si="9">CONCATENATE(B69," - ",D69)</f>
        <v>8.13 - Orthopaedic Conditions, Fracture of pelvis</v>
      </c>
      <c r="D69" s="3" t="s">
        <v>34</v>
      </c>
      <c r="E69" s="13">
        <f t="shared" ref="E69:E103" si="10">ROUNDDOWN(B69,0)</f>
        <v>8</v>
      </c>
      <c r="F69" s="13">
        <f t="shared" ref="F69:F103" si="11">(B69-E69)*10000</f>
        <v>1300.0000000000077</v>
      </c>
      <c r="G69" s="13">
        <v>81</v>
      </c>
      <c r="H69" s="13">
        <v>2</v>
      </c>
      <c r="I69" s="13" t="s">
        <v>267</v>
      </c>
      <c r="L69" s="13" t="s">
        <v>52</v>
      </c>
      <c r="M69" s="13" t="s">
        <v>213</v>
      </c>
    </row>
    <row r="70" spans="2:13">
      <c r="B70" s="13">
        <v>8.141</v>
      </c>
      <c r="C70" s="13" t="str">
        <f t="shared" si="9"/>
        <v>8.141 - Orthopaedic Conditions, Fracture of knee (includes patella, femur involving knee joint, tibia or fibula involving knee joint)</v>
      </c>
      <c r="D70" s="3" t="s">
        <v>470</v>
      </c>
      <c r="E70" s="13">
        <f t="shared" si="10"/>
        <v>8</v>
      </c>
      <c r="F70" s="13">
        <f t="shared" si="11"/>
        <v>1410.0000000000002</v>
      </c>
      <c r="G70" s="13">
        <v>81</v>
      </c>
      <c r="H70" s="13">
        <v>2</v>
      </c>
      <c r="I70" s="13" t="s">
        <v>267</v>
      </c>
      <c r="L70" s="13" t="s">
        <v>89</v>
      </c>
      <c r="M70" s="13">
        <v>1</v>
      </c>
    </row>
    <row r="71" spans="2:13">
      <c r="B71" s="13">
        <v>8.1419999999999995</v>
      </c>
      <c r="C71" s="13" t="str">
        <f t="shared" si="9"/>
        <v>8.142 - Orthopaedic Conditions, Fracture of leg, ankle, foot</v>
      </c>
      <c r="D71" s="3" t="s">
        <v>451</v>
      </c>
      <c r="E71" s="13">
        <f t="shared" si="10"/>
        <v>8</v>
      </c>
      <c r="F71" s="13">
        <f t="shared" si="11"/>
        <v>1419.9999999999945</v>
      </c>
      <c r="G71" s="13">
        <v>81</v>
      </c>
      <c r="H71" s="13">
        <v>2</v>
      </c>
      <c r="I71" s="13" t="s">
        <v>267</v>
      </c>
      <c r="L71" s="13" t="s">
        <v>180</v>
      </c>
      <c r="M71" s="13">
        <v>2</v>
      </c>
    </row>
    <row r="72" spans="2:13">
      <c r="B72" s="13">
        <v>8.15</v>
      </c>
      <c r="C72" s="13" t="str">
        <f t="shared" si="9"/>
        <v>8.15 - Orthopaedic Conditions, Fracture of upper limb (includes hand, fingers, wrist, forearm, arm, shoulder)</v>
      </c>
      <c r="D72" s="3" t="s">
        <v>452</v>
      </c>
      <c r="E72" s="13">
        <f t="shared" si="10"/>
        <v>8</v>
      </c>
      <c r="F72" s="13">
        <f t="shared" si="11"/>
        <v>1500.0000000000036</v>
      </c>
      <c r="G72" s="13">
        <v>81</v>
      </c>
      <c r="H72" s="13">
        <v>2</v>
      </c>
      <c r="I72" s="13" t="s">
        <v>267</v>
      </c>
      <c r="L72" s="13" t="s">
        <v>187</v>
      </c>
      <c r="M72" s="13">
        <v>3</v>
      </c>
    </row>
    <row r="73" spans="2:13">
      <c r="B73" s="13">
        <v>8.16</v>
      </c>
      <c r="C73" s="13" t="str">
        <f t="shared" si="9"/>
        <v>8.16 - Orthopaedic Conditions, Fracture of spine (excludes where the major disorder is pain)</v>
      </c>
      <c r="D73" s="3" t="s">
        <v>453</v>
      </c>
      <c r="E73" s="13">
        <f t="shared" si="10"/>
        <v>8</v>
      </c>
      <c r="F73" s="13">
        <f t="shared" si="11"/>
        <v>1600.0000000000014</v>
      </c>
      <c r="G73" s="13">
        <v>81</v>
      </c>
      <c r="H73" s="13">
        <v>2</v>
      </c>
      <c r="I73" s="13" t="s">
        <v>267</v>
      </c>
    </row>
    <row r="74" spans="2:13">
      <c r="B74" s="13">
        <v>8.17</v>
      </c>
      <c r="C74" s="13" t="str">
        <f t="shared" si="9"/>
        <v>8.17 - Orthopaedic Conditions, Fracture of multiple sites</v>
      </c>
      <c r="D74" s="3" t="s">
        <v>454</v>
      </c>
      <c r="E74" s="13">
        <f t="shared" si="10"/>
        <v>8</v>
      </c>
      <c r="F74" s="13">
        <f t="shared" si="11"/>
        <v>1699.9999999999993</v>
      </c>
      <c r="G74" s="13">
        <v>81</v>
      </c>
      <c r="H74" s="13">
        <v>2</v>
      </c>
      <c r="I74" s="13" t="s">
        <v>267</v>
      </c>
      <c r="L74" s="13" t="s">
        <v>52</v>
      </c>
      <c r="M74" s="13" t="s">
        <v>213</v>
      </c>
    </row>
    <row r="75" spans="2:13">
      <c r="B75" s="13">
        <v>8.19</v>
      </c>
      <c r="C75" s="13" t="str">
        <f t="shared" si="9"/>
        <v>8.19 - Other orthopaedic fracture</v>
      </c>
      <c r="D75" s="3" t="s">
        <v>35</v>
      </c>
      <c r="E75" s="13">
        <f t="shared" si="10"/>
        <v>8</v>
      </c>
      <c r="F75" s="13">
        <f t="shared" si="11"/>
        <v>1899.999999999995</v>
      </c>
      <c r="G75" s="13">
        <v>81</v>
      </c>
      <c r="H75" s="13">
        <v>2</v>
      </c>
      <c r="I75" s="13" t="s">
        <v>267</v>
      </c>
      <c r="L75" s="13" t="s">
        <v>215</v>
      </c>
      <c r="M75" s="13">
        <v>2</v>
      </c>
    </row>
    <row r="76" spans="2:13">
      <c r="B76" s="13">
        <v>8.2110000000000003</v>
      </c>
      <c r="C76" s="13" t="str">
        <f t="shared" si="9"/>
        <v>8.211 - Post orthopaedic surgery, Unilateral hip replacement</v>
      </c>
      <c r="D76" s="3" t="s">
        <v>455</v>
      </c>
      <c r="E76" s="13">
        <f t="shared" si="10"/>
        <v>8</v>
      </c>
      <c r="F76" s="13">
        <f t="shared" si="11"/>
        <v>2110.0000000000032</v>
      </c>
      <c r="G76" s="13">
        <v>82</v>
      </c>
      <c r="H76" s="13">
        <v>2</v>
      </c>
      <c r="I76" s="13">
        <v>2</v>
      </c>
      <c r="L76" s="13" t="s">
        <v>228</v>
      </c>
      <c r="M76" s="13">
        <v>2</v>
      </c>
    </row>
    <row r="77" spans="2:13">
      <c r="B77" s="13">
        <v>8.2119999999999997</v>
      </c>
      <c r="C77" s="13" t="str">
        <f t="shared" si="9"/>
        <v>8.212 - Post orthopaedic surgery, Bilateral hip replacement</v>
      </c>
      <c r="D77" s="3" t="s">
        <v>36</v>
      </c>
      <c r="E77" s="13">
        <f t="shared" si="10"/>
        <v>8</v>
      </c>
      <c r="F77" s="13">
        <f t="shared" si="11"/>
        <v>2119.9999999999973</v>
      </c>
      <c r="G77" s="13">
        <v>82</v>
      </c>
      <c r="H77" s="13">
        <v>2</v>
      </c>
      <c r="I77" s="13">
        <v>2</v>
      </c>
      <c r="L77" s="13" t="s">
        <v>230</v>
      </c>
      <c r="M77" s="13">
        <v>2</v>
      </c>
    </row>
    <row r="78" spans="2:13">
      <c r="B78" s="13">
        <v>8.2210000000000001</v>
      </c>
      <c r="C78" s="13" t="str">
        <f t="shared" si="9"/>
        <v>8.221 - Post orthopaedic surgery, Unilateral knee replacement</v>
      </c>
      <c r="D78" s="3" t="s">
        <v>456</v>
      </c>
      <c r="E78" s="13">
        <f t="shared" si="10"/>
        <v>8</v>
      </c>
      <c r="F78" s="13">
        <f t="shared" si="11"/>
        <v>2210.0000000000009</v>
      </c>
      <c r="G78" s="13">
        <v>82</v>
      </c>
      <c r="H78" s="13">
        <v>2</v>
      </c>
      <c r="I78" s="13">
        <v>2</v>
      </c>
      <c r="L78" s="13" t="s">
        <v>231</v>
      </c>
      <c r="M78" s="13">
        <v>2</v>
      </c>
    </row>
    <row r="79" spans="2:13">
      <c r="B79" s="13">
        <v>8.2219999999999995</v>
      </c>
      <c r="C79" s="13" t="str">
        <f t="shared" si="9"/>
        <v>8.222 - Post orthopaedic surgery, Bilateral knee replacement</v>
      </c>
      <c r="D79" s="3" t="s">
        <v>37</v>
      </c>
      <c r="E79" s="13">
        <f t="shared" si="10"/>
        <v>8</v>
      </c>
      <c r="F79" s="13">
        <f t="shared" si="11"/>
        <v>2219.9999999999955</v>
      </c>
      <c r="G79" s="13">
        <v>82</v>
      </c>
      <c r="H79" s="13">
        <v>2</v>
      </c>
      <c r="I79" s="13">
        <v>2</v>
      </c>
      <c r="L79" s="13" t="s">
        <v>214</v>
      </c>
      <c r="M79" s="13">
        <v>1</v>
      </c>
    </row>
    <row r="80" spans="2:13">
      <c r="B80" s="13">
        <v>8.2309999999999999</v>
      </c>
      <c r="C80" s="13" t="str">
        <f t="shared" si="9"/>
        <v>8.231 - Post orthopaedic surgery, Knee and hip replacement same side</v>
      </c>
      <c r="D80" s="3" t="s">
        <v>469</v>
      </c>
      <c r="E80" s="13">
        <f t="shared" si="10"/>
        <v>8</v>
      </c>
      <c r="F80" s="13">
        <f t="shared" si="11"/>
        <v>2309.9999999999986</v>
      </c>
      <c r="G80" s="13">
        <v>82</v>
      </c>
      <c r="H80" s="13">
        <v>2</v>
      </c>
      <c r="I80" s="13">
        <v>2</v>
      </c>
      <c r="L80" s="13" t="s">
        <v>229</v>
      </c>
      <c r="M80" s="13">
        <v>1</v>
      </c>
    </row>
    <row r="81" spans="2:13">
      <c r="B81" s="13">
        <v>8.2319999999999993</v>
      </c>
      <c r="C81" s="13" t="str">
        <f t="shared" si="9"/>
        <v>8.232 - Post orthopaedic surgery, Knee and hip replacement different sides</v>
      </c>
      <c r="D81" s="3" t="s">
        <v>457</v>
      </c>
      <c r="E81" s="13">
        <f t="shared" si="10"/>
        <v>8</v>
      </c>
      <c r="F81" s="13">
        <f t="shared" si="11"/>
        <v>2319.9999999999932</v>
      </c>
      <c r="G81" s="13">
        <v>82</v>
      </c>
      <c r="H81" s="13">
        <v>2</v>
      </c>
      <c r="I81" s="13">
        <v>2</v>
      </c>
      <c r="L81" s="13" t="s">
        <v>226</v>
      </c>
      <c r="M81" s="13">
        <v>1</v>
      </c>
    </row>
    <row r="82" spans="2:13">
      <c r="B82" s="13">
        <v>8.24</v>
      </c>
      <c r="C82" s="13" t="str">
        <f t="shared" si="9"/>
        <v>8.24 - Post orthopaedic surgery, Shoulder replacement or repair</v>
      </c>
      <c r="D82" s="3" t="s">
        <v>458</v>
      </c>
      <c r="E82" s="13">
        <f t="shared" si="10"/>
        <v>8</v>
      </c>
      <c r="F82" s="13">
        <f t="shared" si="11"/>
        <v>2400.0000000000023</v>
      </c>
      <c r="G82" s="13">
        <v>82</v>
      </c>
      <c r="H82" s="13">
        <v>2</v>
      </c>
      <c r="I82" s="13">
        <v>2</v>
      </c>
      <c r="L82" s="13" t="s">
        <v>232</v>
      </c>
      <c r="M82" s="13">
        <v>1</v>
      </c>
    </row>
    <row r="83" spans="2:13">
      <c r="B83" s="13">
        <v>8.25</v>
      </c>
      <c r="C83" s="13" t="str">
        <f t="shared" si="9"/>
        <v>8.25 - Post orthopaedic surgery, Post spinal surgery</v>
      </c>
      <c r="D83" s="3" t="s">
        <v>468</v>
      </c>
      <c r="E83" s="13">
        <f t="shared" si="10"/>
        <v>8</v>
      </c>
      <c r="F83" s="13">
        <f t="shared" si="11"/>
        <v>2500</v>
      </c>
      <c r="G83" s="13">
        <v>82</v>
      </c>
      <c r="H83" s="13">
        <v>2</v>
      </c>
      <c r="I83" s="13">
        <v>2</v>
      </c>
    </row>
    <row r="84" spans="2:13">
      <c r="B84" s="13">
        <v>8.26</v>
      </c>
      <c r="C84" s="13" t="str">
        <f t="shared" si="9"/>
        <v>8.26 - Other orthopaedic surgery</v>
      </c>
      <c r="D84" s="3" t="s">
        <v>38</v>
      </c>
      <c r="E84" s="13">
        <f t="shared" si="10"/>
        <v>8</v>
      </c>
      <c r="F84" s="13">
        <f t="shared" si="11"/>
        <v>2599.9999999999977</v>
      </c>
      <c r="G84" s="13">
        <v>82</v>
      </c>
      <c r="H84" s="13">
        <v>2</v>
      </c>
      <c r="I84" s="13">
        <v>2</v>
      </c>
    </row>
    <row r="85" spans="2:13">
      <c r="B85" s="13">
        <v>8.3000000000000007</v>
      </c>
      <c r="C85" s="13" t="str">
        <f t="shared" si="9"/>
        <v>8.3 - Soft tissue injury</v>
      </c>
      <c r="D85" s="3" t="s">
        <v>459</v>
      </c>
      <c r="E85" s="13">
        <f t="shared" si="10"/>
        <v>8</v>
      </c>
      <c r="F85" s="13">
        <f t="shared" si="11"/>
        <v>3000.0000000000073</v>
      </c>
      <c r="G85" s="13">
        <v>83</v>
      </c>
      <c r="H85" s="13">
        <v>2</v>
      </c>
      <c r="I85" s="13">
        <v>2</v>
      </c>
    </row>
    <row r="86" spans="2:13">
      <c r="B86" s="13">
        <v>9.1</v>
      </c>
      <c r="C86" s="13" t="str">
        <f t="shared" si="9"/>
        <v>9.1 - Cardiac, Following recent onset of new cardiac impairment</v>
      </c>
      <c r="D86" s="3" t="s">
        <v>39</v>
      </c>
      <c r="E86" s="13">
        <f t="shared" si="10"/>
        <v>9</v>
      </c>
      <c r="F86" s="13">
        <f t="shared" si="11"/>
        <v>999.99999999999648</v>
      </c>
      <c r="G86" s="13">
        <v>9</v>
      </c>
      <c r="H86" s="13">
        <v>2</v>
      </c>
      <c r="I86" s="13">
        <v>3</v>
      </c>
    </row>
    <row r="87" spans="2:13">
      <c r="B87" s="13">
        <v>9.1999999999999993</v>
      </c>
      <c r="C87" s="13" t="str">
        <f t="shared" si="9"/>
        <v>9.2 - Cardiac, Chronic cardiac insufficiency</v>
      </c>
      <c r="D87" s="3" t="s">
        <v>40</v>
      </c>
      <c r="E87" s="13">
        <f t="shared" si="10"/>
        <v>9</v>
      </c>
      <c r="F87" s="13">
        <f t="shared" si="11"/>
        <v>1999.999999999993</v>
      </c>
      <c r="G87" s="13">
        <v>9</v>
      </c>
      <c r="H87" s="13">
        <v>2</v>
      </c>
      <c r="I87" s="13">
        <v>3</v>
      </c>
    </row>
    <row r="88" spans="2:13">
      <c r="B88" s="13">
        <v>9.3000000000000007</v>
      </c>
      <c r="C88" s="13" t="str">
        <f t="shared" si="9"/>
        <v>9.3 - Cardiac, Heart or heart/lung transplant</v>
      </c>
      <c r="D88" s="3" t="s">
        <v>460</v>
      </c>
      <c r="E88" s="13">
        <f t="shared" si="10"/>
        <v>9</v>
      </c>
      <c r="F88" s="13">
        <f t="shared" si="11"/>
        <v>3000.0000000000073</v>
      </c>
      <c r="G88" s="13">
        <v>9</v>
      </c>
      <c r="H88" s="13">
        <v>2</v>
      </c>
      <c r="I88" s="13">
        <v>3</v>
      </c>
    </row>
    <row r="89" spans="2:13">
      <c r="B89" s="13">
        <v>10.1</v>
      </c>
      <c r="C89" s="13" t="str">
        <f t="shared" si="9"/>
        <v>10.1 - Pulmonary, Chronic obstructive pulmonary disease</v>
      </c>
      <c r="D89" s="3" t="s">
        <v>41</v>
      </c>
      <c r="E89" s="13">
        <f t="shared" si="10"/>
        <v>10</v>
      </c>
      <c r="F89" s="13">
        <f t="shared" si="11"/>
        <v>999.99999999999648</v>
      </c>
      <c r="G89" s="13">
        <v>10</v>
      </c>
      <c r="H89" s="13">
        <v>2</v>
      </c>
      <c r="I89" s="13">
        <v>3</v>
      </c>
    </row>
    <row r="90" spans="2:13">
      <c r="B90" s="13">
        <v>10.199999999999999</v>
      </c>
      <c r="C90" s="13" t="str">
        <f t="shared" si="9"/>
        <v>10.2 - Pulmonary, Lung transplant</v>
      </c>
      <c r="D90" s="3" t="s">
        <v>42</v>
      </c>
      <c r="E90" s="13">
        <f t="shared" si="10"/>
        <v>10</v>
      </c>
      <c r="F90" s="13">
        <f t="shared" si="11"/>
        <v>1999.999999999993</v>
      </c>
      <c r="G90" s="13">
        <v>10</v>
      </c>
      <c r="H90" s="13">
        <v>2</v>
      </c>
      <c r="I90" s="13">
        <v>3</v>
      </c>
    </row>
    <row r="91" spans="2:13">
      <c r="B91" s="13">
        <v>10.9</v>
      </c>
      <c r="C91" s="13" t="str">
        <f t="shared" si="9"/>
        <v>10.9 - Other pulmonary</v>
      </c>
      <c r="D91" s="3" t="s">
        <v>43</v>
      </c>
      <c r="E91" s="13">
        <f t="shared" si="10"/>
        <v>10</v>
      </c>
      <c r="F91" s="13">
        <f t="shared" si="11"/>
        <v>9000.0000000000036</v>
      </c>
      <c r="G91" s="13">
        <v>10</v>
      </c>
      <c r="H91" s="13">
        <v>2</v>
      </c>
      <c r="I91" s="13">
        <v>3</v>
      </c>
    </row>
    <row r="92" spans="2:13">
      <c r="B92" s="13">
        <v>11</v>
      </c>
      <c r="C92" s="13" t="str">
        <f t="shared" si="9"/>
        <v>11 - Burns</v>
      </c>
      <c r="D92" s="3" t="s">
        <v>44</v>
      </c>
      <c r="E92" s="13">
        <f t="shared" si="10"/>
        <v>11</v>
      </c>
      <c r="F92" s="13">
        <f t="shared" si="11"/>
        <v>0</v>
      </c>
      <c r="G92" s="13">
        <v>11</v>
      </c>
      <c r="H92" s="13">
        <v>2</v>
      </c>
      <c r="I92" s="13">
        <v>9</v>
      </c>
    </row>
    <row r="93" spans="2:13">
      <c r="B93" s="13">
        <v>12.1</v>
      </c>
      <c r="C93" s="13" t="str">
        <f t="shared" si="9"/>
        <v>12.1 - Congenital Deformities, Spina bifida</v>
      </c>
      <c r="D93" s="3" t="s">
        <v>461</v>
      </c>
      <c r="E93" s="13">
        <f t="shared" si="10"/>
        <v>12</v>
      </c>
      <c r="F93" s="13">
        <f t="shared" si="11"/>
        <v>999.99999999999648</v>
      </c>
      <c r="G93" s="13">
        <v>12</v>
      </c>
      <c r="H93" s="13">
        <v>2</v>
      </c>
      <c r="I93" s="13">
        <v>9</v>
      </c>
    </row>
    <row r="94" spans="2:13">
      <c r="B94" s="13">
        <v>12.9</v>
      </c>
      <c r="C94" s="13" t="str">
        <f t="shared" si="9"/>
        <v>12.9 - Other congenital</v>
      </c>
      <c r="D94" s="3" t="s">
        <v>45</v>
      </c>
      <c r="E94" s="13">
        <f t="shared" si="10"/>
        <v>12</v>
      </c>
      <c r="F94" s="13">
        <f t="shared" si="11"/>
        <v>9000.0000000000036</v>
      </c>
      <c r="G94" s="13">
        <v>12</v>
      </c>
      <c r="H94" s="13">
        <v>2</v>
      </c>
      <c r="I94" s="13">
        <v>9</v>
      </c>
    </row>
    <row r="95" spans="2:13">
      <c r="B95" s="13">
        <v>13.1</v>
      </c>
      <c r="C95" s="13" t="str">
        <f t="shared" si="9"/>
        <v>13.1 - Other Disabling Impairments, Lymphoedema</v>
      </c>
      <c r="D95" s="3" t="s">
        <v>462</v>
      </c>
      <c r="E95" s="13">
        <f t="shared" si="10"/>
        <v>13</v>
      </c>
      <c r="F95" s="13">
        <f t="shared" si="11"/>
        <v>999.99999999999648</v>
      </c>
      <c r="G95" s="13">
        <v>13</v>
      </c>
      <c r="H95" s="13">
        <v>2</v>
      </c>
      <c r="I95" s="13">
        <v>9</v>
      </c>
    </row>
    <row r="96" spans="2:13">
      <c r="B96" s="13">
        <v>13.3</v>
      </c>
      <c r="C96" s="13" t="str">
        <f t="shared" si="9"/>
        <v>13.3 - Other Disabling Impairments, Conversion disorder</v>
      </c>
      <c r="D96" s="3" t="s">
        <v>463</v>
      </c>
      <c r="E96" s="13">
        <f t="shared" si="10"/>
        <v>13</v>
      </c>
      <c r="F96" s="13">
        <f t="shared" si="11"/>
        <v>3000.0000000000073</v>
      </c>
      <c r="G96" s="13">
        <v>13</v>
      </c>
      <c r="H96" s="13">
        <v>2</v>
      </c>
      <c r="I96" s="13">
        <v>9</v>
      </c>
    </row>
    <row r="97" spans="2:9">
      <c r="B97" s="13">
        <v>13.9</v>
      </c>
      <c r="C97" s="13" t="str">
        <f t="shared" si="9"/>
        <v>13.9 - Other disabling impairments. This classification should rarely be used.</v>
      </c>
      <c r="D97" s="3" t="s">
        <v>46</v>
      </c>
      <c r="E97" s="13">
        <f t="shared" si="10"/>
        <v>13</v>
      </c>
      <c r="F97" s="13">
        <f t="shared" si="11"/>
        <v>9000.0000000000036</v>
      </c>
      <c r="G97" s="13">
        <v>13</v>
      </c>
      <c r="H97" s="13">
        <v>2</v>
      </c>
      <c r="I97" s="13">
        <v>9</v>
      </c>
    </row>
    <row r="98" spans="2:9">
      <c r="B98" s="13">
        <v>14.1</v>
      </c>
      <c r="C98" s="13" t="str">
        <f t="shared" si="9"/>
        <v>14.1 - Major Multiple Trauma, Brain + spinal cord injury</v>
      </c>
      <c r="D98" s="3" t="s">
        <v>47</v>
      </c>
      <c r="E98" s="13">
        <f t="shared" si="10"/>
        <v>14</v>
      </c>
      <c r="F98" s="13">
        <f t="shared" si="11"/>
        <v>999.99999999999648</v>
      </c>
      <c r="G98" s="13">
        <v>14</v>
      </c>
      <c r="H98" s="13">
        <v>1</v>
      </c>
      <c r="I98" s="13" t="s">
        <v>268</v>
      </c>
    </row>
    <row r="99" spans="2:9">
      <c r="B99" s="13">
        <v>14.2</v>
      </c>
      <c r="C99" s="13" t="str">
        <f t="shared" si="9"/>
        <v>14.2 - Major Multiple Trauma, Brain + multiple fracture/amputation</v>
      </c>
      <c r="D99" s="3" t="s">
        <v>464</v>
      </c>
      <c r="E99" s="13">
        <f t="shared" si="10"/>
        <v>14</v>
      </c>
      <c r="F99" s="13">
        <f t="shared" si="11"/>
        <v>1999.999999999993</v>
      </c>
      <c r="G99" s="13">
        <v>14</v>
      </c>
      <c r="H99" s="13">
        <v>1</v>
      </c>
      <c r="I99" s="13" t="s">
        <v>268</v>
      </c>
    </row>
    <row r="100" spans="2:9">
      <c r="B100" s="13">
        <v>14.3</v>
      </c>
      <c r="C100" s="13" t="str">
        <f t="shared" si="9"/>
        <v>14.3 - Major Multiple Trauma, Spinal cord + multiple fracture/amputation</v>
      </c>
      <c r="D100" s="3" t="s">
        <v>465</v>
      </c>
      <c r="E100" s="13">
        <f t="shared" si="10"/>
        <v>14</v>
      </c>
      <c r="F100" s="13">
        <f t="shared" si="11"/>
        <v>3000.0000000000073</v>
      </c>
      <c r="G100" s="13">
        <v>14</v>
      </c>
      <c r="H100" s="13">
        <v>1</v>
      </c>
      <c r="I100" s="13" t="s">
        <v>268</v>
      </c>
    </row>
    <row r="101" spans="2:9">
      <c r="B101" s="13">
        <v>14.9</v>
      </c>
      <c r="C101" s="13" t="str">
        <f t="shared" si="9"/>
        <v>14.9 - Other Multiple trauma</v>
      </c>
      <c r="D101" s="3" t="s">
        <v>217</v>
      </c>
      <c r="E101" s="13">
        <f t="shared" si="10"/>
        <v>14</v>
      </c>
      <c r="F101" s="13">
        <f t="shared" si="11"/>
        <v>9000.0000000000036</v>
      </c>
      <c r="G101" s="13">
        <v>14</v>
      </c>
      <c r="H101" s="13">
        <v>1</v>
      </c>
      <c r="I101" s="13" t="s">
        <v>268</v>
      </c>
    </row>
    <row r="102" spans="2:9">
      <c r="B102" s="13">
        <v>15.1</v>
      </c>
      <c r="C102" s="13" t="str">
        <f t="shared" si="9"/>
        <v>15.1 - Developmental disabilities</v>
      </c>
      <c r="D102" s="3" t="s">
        <v>48</v>
      </c>
      <c r="E102" s="13">
        <f t="shared" si="10"/>
        <v>15</v>
      </c>
      <c r="F102" s="13">
        <f t="shared" si="11"/>
        <v>999.99999999999648</v>
      </c>
      <c r="G102" s="13">
        <v>15</v>
      </c>
      <c r="H102" s="13">
        <v>2</v>
      </c>
      <c r="I102" s="13">
        <v>9</v>
      </c>
    </row>
    <row r="103" spans="2:9">
      <c r="B103" s="13">
        <v>16.100000000000001</v>
      </c>
      <c r="C103" s="13" t="str">
        <f t="shared" si="9"/>
        <v>16.1 - Reconditioning following surgery</v>
      </c>
      <c r="D103" s="3" t="s">
        <v>466</v>
      </c>
      <c r="E103" s="13">
        <f t="shared" si="10"/>
        <v>16</v>
      </c>
      <c r="F103" s="13">
        <f t="shared" si="11"/>
        <v>1000.0000000000142</v>
      </c>
      <c r="G103" s="13">
        <v>16</v>
      </c>
      <c r="H103" s="13">
        <v>2</v>
      </c>
      <c r="I103" s="13" t="s">
        <v>269</v>
      </c>
    </row>
    <row r="104" spans="2:9">
      <c r="B104" s="13">
        <v>16.2</v>
      </c>
      <c r="C104" s="13" t="str">
        <f>CONCATENATE(B104," - ",D104)</f>
        <v>16.2 - Reconditioning following medical illness</v>
      </c>
      <c r="D104" s="3" t="s">
        <v>467</v>
      </c>
      <c r="E104" s="13">
        <f>ROUNDDOWN(B104,0)</f>
        <v>16</v>
      </c>
      <c r="F104" s="13">
        <f>(B104-E104)*10000</f>
        <v>1999.999999999993</v>
      </c>
      <c r="G104" s="13">
        <v>16</v>
      </c>
      <c r="H104" s="13">
        <v>2</v>
      </c>
      <c r="I104" s="13" t="s">
        <v>269</v>
      </c>
    </row>
    <row r="105" spans="2:9">
      <c r="B105" s="13">
        <v>16.3</v>
      </c>
      <c r="C105" s="13" t="str">
        <f>CONCATENATE(B105," - ",D105)</f>
        <v>16.3 - Cancer Rehabilitation</v>
      </c>
      <c r="D105" s="3" t="s">
        <v>49</v>
      </c>
      <c r="E105" s="13">
        <f>ROUNDDOWN(B105,0)</f>
        <v>16</v>
      </c>
      <c r="F105" s="13">
        <f>(B105-E105)*10000</f>
        <v>3000.0000000000073</v>
      </c>
      <c r="G105" s="13">
        <v>16</v>
      </c>
      <c r="H105" s="13">
        <v>2</v>
      </c>
      <c r="I105" s="13" t="s">
        <v>269</v>
      </c>
    </row>
    <row r="106" spans="2:9">
      <c r="B106" s="3">
        <v>18.100000000000001</v>
      </c>
      <c r="C106" s="13" t="str">
        <f t="shared" ref="C106:C108" si="12">CONCATENATE(B106," - ",D106)</f>
        <v>18.1 - COVID-19 with pulmonary issues</v>
      </c>
      <c r="D106" s="3" t="s">
        <v>504</v>
      </c>
      <c r="E106" s="13">
        <f t="shared" ref="E106:E108" si="13">ROUNDDOWN(B106,0)</f>
        <v>18</v>
      </c>
      <c r="F106" s="13">
        <f t="shared" ref="F106:F108" si="14">(B106-E106)*10000</f>
        <v>1000.0000000000142</v>
      </c>
      <c r="G106" s="13">
        <v>18</v>
      </c>
      <c r="H106" s="13">
        <v>2</v>
      </c>
      <c r="I106" s="13">
        <v>9</v>
      </c>
    </row>
    <row r="107" spans="2:9">
      <c r="B107" s="3">
        <v>18.2</v>
      </c>
      <c r="C107" s="13" t="str">
        <f t="shared" si="12"/>
        <v>18.2 - COVID-19 with deconditioning</v>
      </c>
      <c r="D107" s="3" t="s">
        <v>505</v>
      </c>
      <c r="E107" s="13">
        <f t="shared" si="13"/>
        <v>18</v>
      </c>
      <c r="F107" s="13">
        <f t="shared" si="14"/>
        <v>1999.999999999993</v>
      </c>
      <c r="G107" s="13">
        <v>18</v>
      </c>
      <c r="H107" s="13">
        <v>2</v>
      </c>
      <c r="I107" s="13">
        <v>9</v>
      </c>
    </row>
    <row r="108" spans="2:9">
      <c r="B108" s="3">
        <v>18.899999999999999</v>
      </c>
      <c r="C108" s="13" t="str">
        <f t="shared" si="12"/>
        <v>18.9 - COVID-19 all other</v>
      </c>
      <c r="D108" s="3" t="s">
        <v>506</v>
      </c>
      <c r="E108" s="13">
        <f t="shared" si="13"/>
        <v>18</v>
      </c>
      <c r="F108" s="13">
        <f t="shared" si="14"/>
        <v>8999.9999999999854</v>
      </c>
      <c r="G108" s="13">
        <v>18</v>
      </c>
      <c r="H108" s="13">
        <v>2</v>
      </c>
      <c r="I108" s="13">
        <v>9</v>
      </c>
    </row>
    <row r="111" spans="2:9">
      <c r="B111" s="13" t="s">
        <v>52</v>
      </c>
      <c r="C111" s="13" t="s">
        <v>53</v>
      </c>
      <c r="D111" s="13" t="s">
        <v>54</v>
      </c>
    </row>
    <row r="112" spans="2:9">
      <c r="B112" s="13" t="str">
        <f t="shared" ref="B112:B118" si="15">CONCATENATE(C112," - ",D112)</f>
        <v>1 - Total contact assistance</v>
      </c>
      <c r="C112" s="13">
        <v>1</v>
      </c>
      <c r="D112" s="13" t="s">
        <v>55</v>
      </c>
    </row>
    <row r="113" spans="2:4">
      <c r="B113" s="13" t="str">
        <f t="shared" si="15"/>
        <v>2 - Maximal contact assistance</v>
      </c>
      <c r="C113" s="13">
        <v>2</v>
      </c>
      <c r="D113" s="13" t="s">
        <v>56</v>
      </c>
    </row>
    <row r="114" spans="2:4">
      <c r="B114" s="13" t="str">
        <f t="shared" si="15"/>
        <v>3 - Moderate contact assistance</v>
      </c>
      <c r="C114" s="13">
        <v>3</v>
      </c>
      <c r="D114" s="13" t="s">
        <v>57</v>
      </c>
    </row>
    <row r="115" spans="2:4">
      <c r="B115" s="13" t="str">
        <f t="shared" si="15"/>
        <v>4 - Minimal contact assistance</v>
      </c>
      <c r="C115" s="13">
        <v>4</v>
      </c>
      <c r="D115" s="13" t="s">
        <v>58</v>
      </c>
    </row>
    <row r="116" spans="2:4">
      <c r="B116" s="13" t="str">
        <f t="shared" si="15"/>
        <v>5 - Supervision or setup</v>
      </c>
      <c r="C116" s="13">
        <v>5</v>
      </c>
      <c r="D116" s="13" t="s">
        <v>59</v>
      </c>
    </row>
    <row r="117" spans="2:4">
      <c r="B117" s="13" t="str">
        <f t="shared" si="15"/>
        <v>6 - Modified independence</v>
      </c>
      <c r="C117" s="13">
        <v>6</v>
      </c>
      <c r="D117" s="13" t="s">
        <v>60</v>
      </c>
    </row>
    <row r="118" spans="2:4">
      <c r="B118" s="13" t="str">
        <f t="shared" si="15"/>
        <v>7 - Complete Independence</v>
      </c>
      <c r="C118" s="13">
        <v>7</v>
      </c>
      <c r="D118" s="13" t="s">
        <v>61</v>
      </c>
    </row>
  </sheetData>
  <sheetProtection selectLockedCells="1" selectUnlockedCells="1"/>
  <pageMargins left="0.7" right="0.7" top="0.75" bottom="0.75" header="0.3" footer="0.3"/>
  <pageSetup paperSize="9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N26"/>
  <sheetViews>
    <sheetView showGridLines="0" workbookViewId="0">
      <selection activeCell="C25" sqref="C25"/>
    </sheetView>
  </sheetViews>
  <sheetFormatPr defaultColWidth="9.140625" defaultRowHeight="15"/>
  <cols>
    <col min="1" max="1" width="9.140625" style="15"/>
    <col min="2" max="2" width="22.7109375" style="15" customWidth="1"/>
    <col min="3" max="3" width="40.7109375" style="15" customWidth="1"/>
    <col min="4" max="4" width="55.7109375" style="15" customWidth="1"/>
    <col min="5" max="5" width="38.5703125" style="15" customWidth="1"/>
    <col min="6" max="6" width="19.140625" style="15" customWidth="1"/>
    <col min="7" max="16384" width="9.140625" style="15"/>
  </cols>
  <sheetData>
    <row r="3" spans="2:14">
      <c r="E3" s="15" t="s">
        <v>50</v>
      </c>
      <c r="H3" s="15" t="s">
        <v>223</v>
      </c>
      <c r="J3" s="15" t="s">
        <v>399</v>
      </c>
      <c r="L3" s="15" t="s">
        <v>401</v>
      </c>
    </row>
    <row r="4" spans="2:14">
      <c r="B4" s="15" t="s">
        <v>212</v>
      </c>
      <c r="C4" s="16">
        <v>1</v>
      </c>
      <c r="D4" s="17" t="s">
        <v>62</v>
      </c>
      <c r="E4" s="18">
        <f>FIMeating</f>
        <v>0</v>
      </c>
      <c r="H4" s="15">
        <f>IF(AND(E4&gt;0,E4&lt;8),1,0)</f>
        <v>0</v>
      </c>
      <c r="J4" s="15" t="e">
        <f>VLOOKUP($C$10,WeightedFIMLookupV4!$B$4:$P$22,3,FALSE)</f>
        <v>#N/A</v>
      </c>
      <c r="L4" s="15" t="e">
        <f>E4*J4</f>
        <v>#N/A</v>
      </c>
    </row>
    <row r="5" spans="2:14">
      <c r="B5" s="15" t="s">
        <v>216</v>
      </c>
      <c r="C5" s="16">
        <f>IF(AssessOnly&lt;&gt;"",VLOOKUP(AssessOnly,AssessOnlyList, 2,FALSE),"")</f>
        <v>2</v>
      </c>
      <c r="D5" s="17" t="s">
        <v>63</v>
      </c>
      <c r="E5" s="18">
        <f>FIMgrooming</f>
        <v>0</v>
      </c>
      <c r="H5" s="15">
        <f t="shared" ref="H5:H21" si="0">IF(AND(E5&gt;0,E5&lt;8),1,0)</f>
        <v>0</v>
      </c>
      <c r="J5" s="15" t="e">
        <f>VLOOKUP($C$10,WeightedFIMLookupV4!$B$4:$P$22,4,FALSE)</f>
        <v>#N/A</v>
      </c>
      <c r="L5" s="15" t="e">
        <f t="shared" ref="L5:L15" si="1">E5*J5</f>
        <v>#N/A</v>
      </c>
    </row>
    <row r="6" spans="2:14">
      <c r="B6" s="15" t="s">
        <v>0</v>
      </c>
      <c r="D6" s="17" t="s">
        <v>64</v>
      </c>
      <c r="E6" s="18">
        <f>FIMbathing</f>
        <v>0</v>
      </c>
      <c r="H6" s="15">
        <f t="shared" si="0"/>
        <v>0</v>
      </c>
      <c r="J6" s="15" t="e">
        <f>VLOOKUP($C$10,WeightedFIMLookupV4!$B$4:$P$22,5,FALSE)</f>
        <v>#N/A</v>
      </c>
      <c r="L6" s="15" t="e">
        <f t="shared" si="1"/>
        <v>#N/A</v>
      </c>
    </row>
    <row r="7" spans="2:14">
      <c r="B7" s="15" t="s">
        <v>84</v>
      </c>
      <c r="C7" s="16">
        <f>AROC_Impairment_Code</f>
        <v>0</v>
      </c>
      <c r="D7" s="17" t="s">
        <v>65</v>
      </c>
      <c r="E7" s="18">
        <f>FIMupper</f>
        <v>0</v>
      </c>
      <c r="H7" s="15">
        <f t="shared" si="0"/>
        <v>0</v>
      </c>
      <c r="J7" s="15" t="e">
        <f>VLOOKUP($C$10,WeightedFIMLookupV4!$B$4:$P$22,6,FALSE)</f>
        <v>#N/A</v>
      </c>
      <c r="L7" s="15" t="e">
        <f t="shared" si="1"/>
        <v>#N/A</v>
      </c>
    </row>
    <row r="8" spans="2:14">
      <c r="B8" s="15" t="s">
        <v>85</v>
      </c>
      <c r="C8" s="16" t="str">
        <f>IF(AROC_Impairment_Code&lt;&gt;"",VLOOKUP(AROC_Impairment_Code, ImpairmentCode_v4, 4,FALSE),"")</f>
        <v/>
      </c>
      <c r="D8" s="17" t="s">
        <v>66</v>
      </c>
      <c r="E8" s="18">
        <f>FIMlower</f>
        <v>0</v>
      </c>
      <c r="H8" s="15">
        <f t="shared" si="0"/>
        <v>0</v>
      </c>
      <c r="J8" s="15" t="e">
        <f>VLOOKUP($C$10,WeightedFIMLookupV4!$B$4:$P$22,7,FALSE)</f>
        <v>#N/A</v>
      </c>
      <c r="L8" s="15" t="e">
        <f t="shared" si="1"/>
        <v>#N/A</v>
      </c>
    </row>
    <row r="9" spans="2:14">
      <c r="B9" s="15" t="s">
        <v>86</v>
      </c>
      <c r="C9" s="16" t="str">
        <f>IF(AROC_Impairment_Code&lt;&gt;"",VLOOKUP(AROC_Impairment_Code, ImpairmentCode_v4, 5,FALSE),"")</f>
        <v/>
      </c>
      <c r="D9" s="17" t="s">
        <v>67</v>
      </c>
      <c r="E9" s="18">
        <f>FIMtoileting</f>
        <v>0</v>
      </c>
      <c r="H9" s="15">
        <f t="shared" si="0"/>
        <v>0</v>
      </c>
      <c r="J9" s="15" t="e">
        <f>VLOOKUP($C$10,WeightedFIMLookupV4!$B$4:$P$22,8,FALSE)</f>
        <v>#N/A</v>
      </c>
      <c r="L9" s="15" t="e">
        <f t="shared" si="1"/>
        <v>#N/A</v>
      </c>
    </row>
    <row r="10" spans="2:14">
      <c r="B10" s="15" t="s">
        <v>400</v>
      </c>
      <c r="C10" s="15" t="str">
        <f>IF(AROC_Impairment_Code&lt;&gt;"",VLOOKUP(AROC_Impairment_Code, ImpairmentCode_v4, 6,FALSE),"")</f>
        <v/>
      </c>
      <c r="D10" s="17" t="s">
        <v>75</v>
      </c>
      <c r="E10" s="18">
        <f>FIMbladder</f>
        <v>0</v>
      </c>
      <c r="H10" s="15">
        <f t="shared" si="0"/>
        <v>0</v>
      </c>
      <c r="J10" s="15" t="e">
        <f>VLOOKUP($C$10,WeightedFIMLookupV4!$B$4:$P$22,9,FALSE)</f>
        <v>#N/A</v>
      </c>
      <c r="L10" s="15" t="e">
        <f t="shared" si="1"/>
        <v>#N/A</v>
      </c>
    </row>
    <row r="11" spans="2:14">
      <c r="B11" s="15" t="s">
        <v>260</v>
      </c>
      <c r="C11" s="16" t="str">
        <f>IF(AROC_Impairment_Code&lt;&gt;"",VLOOKUP(AROC_Impairment_Code, ImpairmentCode_v4, 7,FALSE),"")</f>
        <v/>
      </c>
      <c r="D11" s="17" t="s">
        <v>76</v>
      </c>
      <c r="E11" s="18">
        <f>FIMbowel</f>
        <v>0</v>
      </c>
      <c r="H11" s="15">
        <f t="shared" si="0"/>
        <v>0</v>
      </c>
      <c r="J11" s="15" t="e">
        <f>VLOOKUP($C$10,WeightedFIMLookupV4!$B$4:$P$22,10,FALSE)</f>
        <v>#N/A</v>
      </c>
      <c r="L11" s="15" t="e">
        <f t="shared" si="1"/>
        <v>#N/A</v>
      </c>
    </row>
    <row r="12" spans="2:14">
      <c r="B12" s="15" t="s">
        <v>261</v>
      </c>
      <c r="C12" s="16" t="str">
        <f>IF(AROC_Impairment_Code&lt;&gt;"",VLOOKUP(AROC_Impairment_Code, ImpairmentCode_v4, 8,FALSE),"")</f>
        <v/>
      </c>
      <c r="D12" s="17" t="s">
        <v>79</v>
      </c>
      <c r="E12" s="18">
        <f>FIMtransfer</f>
        <v>0</v>
      </c>
      <c r="H12" s="15">
        <f t="shared" si="0"/>
        <v>0</v>
      </c>
      <c r="J12" s="15" t="e">
        <f>VLOOKUP($C$10,WeightedFIMLookupV4!$B$4:$P$22,11,FALSE)</f>
        <v>#N/A</v>
      </c>
      <c r="L12" s="15" t="e">
        <f t="shared" si="1"/>
        <v>#N/A</v>
      </c>
    </row>
    <row r="13" spans="2:14">
      <c r="B13" s="15" t="s">
        <v>234</v>
      </c>
      <c r="C13" s="16" t="str">
        <f>IF(ISNA(VLOOKUP(AROC_Impairment_Code, ImpairmentCode_v4, 3,FALSE)),"Code Not Valid",(VLOOKUP(AROC_Impairment_Code, ImpairmentCode_v4, 3,FALSE)))</f>
        <v>Code Not Valid</v>
      </c>
      <c r="D13" s="17" t="s">
        <v>77</v>
      </c>
      <c r="E13" s="18">
        <f>FIMtransfertoil</f>
        <v>0</v>
      </c>
      <c r="H13" s="15">
        <f t="shared" si="0"/>
        <v>0</v>
      </c>
      <c r="J13" s="15" t="e">
        <f>VLOOKUP($C$10,WeightedFIMLookupV4!$B$4:$P$22,12,FALSE)</f>
        <v>#N/A</v>
      </c>
      <c r="L13" s="15" t="e">
        <f t="shared" si="1"/>
        <v>#N/A</v>
      </c>
    </row>
    <row r="14" spans="2:14">
      <c r="B14" s="15" t="s">
        <v>87</v>
      </c>
      <c r="C14" s="19">
        <f>IF(ISERROR(DATEDIF(Date_of_Birth,Episode_Start_Date,"Y")),"Data Incomplete",DATEDIF(Date_of_Birth,Episode_Start_Date,"Y"))</f>
        <v>0</v>
      </c>
      <c r="D14" s="17" t="s">
        <v>78</v>
      </c>
      <c r="E14" s="18">
        <f>FIMtransfertub</f>
        <v>0</v>
      </c>
      <c r="H14" s="15">
        <f t="shared" si="0"/>
        <v>0</v>
      </c>
      <c r="J14" s="15" t="e">
        <f>VLOOKUP($C$10,WeightedFIMLookupV4!$B$4:$P$22,13,FALSE)</f>
        <v>#N/A</v>
      </c>
      <c r="L14" s="15" t="e">
        <f t="shared" si="1"/>
        <v>#N/A</v>
      </c>
    </row>
    <row r="15" spans="2:14">
      <c r="D15" s="17" t="s">
        <v>68</v>
      </c>
      <c r="E15" s="18">
        <f>FIMlocomotion</f>
        <v>0</v>
      </c>
      <c r="F15" s="15" t="s">
        <v>81</v>
      </c>
      <c r="H15" s="15">
        <f t="shared" si="0"/>
        <v>0</v>
      </c>
      <c r="J15" s="15" t="e">
        <f>VLOOKUP($C$10,WeightedFIMLookupV4!$B$4:$P$22,14,FALSE)</f>
        <v>#N/A</v>
      </c>
      <c r="L15" s="15" t="e">
        <f t="shared" si="1"/>
        <v>#N/A</v>
      </c>
      <c r="M15" s="15" t="s">
        <v>402</v>
      </c>
    </row>
    <row r="16" spans="2:14">
      <c r="D16" s="17" t="s">
        <v>69</v>
      </c>
      <c r="E16" s="18">
        <f>FIMstairs</f>
        <v>0</v>
      </c>
      <c r="F16" s="20" t="str">
        <f>IF(SUM(H4:H16)=13,SUM(E4:E16),"Data Incomplete")</f>
        <v>Data Incomplete</v>
      </c>
      <c r="H16" s="15">
        <f t="shared" si="0"/>
        <v>0</v>
      </c>
      <c r="J16" s="15" t="e">
        <f>VLOOKUP($C$10,WeightedFIMLookupV4!$B$4:$P$22,15,FALSE)</f>
        <v>#N/A</v>
      </c>
      <c r="L16" s="15" t="e">
        <f>E16*J16</f>
        <v>#N/A</v>
      </c>
      <c r="N16" s="20" t="e">
        <f>SUM(L4:L16)</f>
        <v>#N/A</v>
      </c>
    </row>
    <row r="17" spans="4:14">
      <c r="D17" s="17" t="s">
        <v>70</v>
      </c>
      <c r="E17" s="18">
        <f>FIMcomprehension</f>
        <v>0</v>
      </c>
      <c r="H17" s="15">
        <f t="shared" si="0"/>
        <v>0</v>
      </c>
    </row>
    <row r="18" spans="4:14">
      <c r="D18" s="17" t="s">
        <v>71</v>
      </c>
      <c r="E18" s="18">
        <f>FIMexpression</f>
        <v>0</v>
      </c>
      <c r="H18" s="15">
        <f t="shared" si="0"/>
        <v>0</v>
      </c>
    </row>
    <row r="19" spans="4:14">
      <c r="D19" s="17" t="s">
        <v>72</v>
      </c>
      <c r="E19" s="18">
        <f>FIMsocial</f>
        <v>0</v>
      </c>
      <c r="H19" s="15">
        <f t="shared" si="0"/>
        <v>0</v>
      </c>
      <c r="M19" s="15" t="s">
        <v>403</v>
      </c>
    </row>
    <row r="20" spans="4:14">
      <c r="D20" s="17" t="s">
        <v>80</v>
      </c>
      <c r="E20" s="18">
        <f>FIMproblem</f>
        <v>0</v>
      </c>
      <c r="F20" s="15" t="s">
        <v>82</v>
      </c>
      <c r="H20" s="15">
        <f t="shared" si="0"/>
        <v>0</v>
      </c>
      <c r="N20" s="15" t="e">
        <f>ROUND(W.FIM_Motorv4,0)</f>
        <v>#N/A</v>
      </c>
    </row>
    <row r="21" spans="4:14">
      <c r="D21" s="17" t="s">
        <v>73</v>
      </c>
      <c r="E21" s="18">
        <f>FIMmemory</f>
        <v>0</v>
      </c>
      <c r="F21" s="20" t="str">
        <f>IF(SUM(H17:H21)=5,SUM(E17:E21),"Data Incomplete")</f>
        <v>Data Incomplete</v>
      </c>
      <c r="H21" s="15">
        <f t="shared" si="0"/>
        <v>0</v>
      </c>
    </row>
    <row r="22" spans="4:14">
      <c r="D22" s="21" t="s">
        <v>83</v>
      </c>
      <c r="E22" s="20" t="str">
        <f>IF(SUM(H4:H21)=18,SUM(E4:E21),"Data Incomplete")</f>
        <v>Data Incomplete</v>
      </c>
    </row>
    <row r="24" spans="4:14">
      <c r="D24" s="22" t="s">
        <v>220</v>
      </c>
      <c r="E24" s="15" t="str">
        <f>IF(AND(SUM(H4:H21)=18,AICrawv4&lt;&gt;0,RehabTypeValuev4&gt;0,AssessOnlyValuev4&gt;0,AICmajorv4&gt;0,Agev4&gt;5,Agev4&lt;120),"Yes","No")</f>
        <v>No</v>
      </c>
    </row>
    <row r="25" spans="4:14" ht="26.25" customHeight="1">
      <c r="D25" s="23" t="s">
        <v>271</v>
      </c>
      <c r="E25" s="15" t="str">
        <f>IF(DataComplete="Yes",VLOOKUP("MATCH",SNAPCode_Listv4,2,FALSE),"Data Incomplete")</f>
        <v>Data Incomplete</v>
      </c>
    </row>
    <row r="26" spans="4:14" ht="23.25">
      <c r="D26" s="23" t="s">
        <v>54</v>
      </c>
      <c r="E26" s="15" t="str">
        <f>IF(DataComplete="Yes",VLOOKUP("MATCH",SNAPCode_Listv4,4,FALSE),"—")</f>
        <v>—</v>
      </c>
    </row>
  </sheetData>
  <sheetProtection selectLockedCells="1" selectUnlockedCells="1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3:P22"/>
  <sheetViews>
    <sheetView showGridLines="0" topLeftCell="B1" workbookViewId="0">
      <selection activeCell="J31" sqref="J31"/>
    </sheetView>
  </sheetViews>
  <sheetFormatPr defaultColWidth="9.140625" defaultRowHeight="15"/>
  <cols>
    <col min="1" max="2" width="9.140625" style="24"/>
    <col min="3" max="3" width="18.140625" style="24" bestFit="1" customWidth="1"/>
    <col min="4" max="16384" width="9.140625" style="24"/>
  </cols>
  <sheetData>
    <row r="3" spans="2:16">
      <c r="C3" s="24" t="s">
        <v>370</v>
      </c>
      <c r="D3" s="24" t="s">
        <v>371</v>
      </c>
      <c r="E3" s="24" t="s">
        <v>372</v>
      </c>
      <c r="F3" s="24" t="s">
        <v>373</v>
      </c>
      <c r="G3" s="24" t="s">
        <v>374</v>
      </c>
      <c r="H3" s="24" t="s">
        <v>375</v>
      </c>
      <c r="I3" s="24" t="s">
        <v>376</v>
      </c>
      <c r="J3" s="24" t="s">
        <v>377</v>
      </c>
      <c r="K3" s="24" t="s">
        <v>378</v>
      </c>
      <c r="L3" s="24" t="s">
        <v>379</v>
      </c>
      <c r="M3" s="24" t="s">
        <v>380</v>
      </c>
      <c r="N3" s="24" t="s">
        <v>381</v>
      </c>
      <c r="O3" s="24" t="s">
        <v>382</v>
      </c>
      <c r="P3" s="24" t="s">
        <v>383</v>
      </c>
    </row>
    <row r="4" spans="2:16">
      <c r="B4" s="24">
        <v>1</v>
      </c>
      <c r="C4" s="24" t="s">
        <v>384</v>
      </c>
      <c r="D4" s="24">
        <v>1.0069999999999999</v>
      </c>
      <c r="E4" s="24">
        <v>0.98299999999999998</v>
      </c>
      <c r="F4" s="24">
        <v>1.1990000000000001</v>
      </c>
      <c r="G4" s="24">
        <v>1.028</v>
      </c>
      <c r="H4" s="24">
        <v>1.054</v>
      </c>
      <c r="I4" s="24">
        <v>1.0580000000000001</v>
      </c>
      <c r="J4" s="24">
        <v>0.79900000000000004</v>
      </c>
      <c r="K4" s="24">
        <v>0.83499999999999996</v>
      </c>
      <c r="L4" s="24">
        <v>1.121</v>
      </c>
      <c r="M4" s="24">
        <v>1.1080000000000001</v>
      </c>
      <c r="N4" s="24">
        <v>1.145</v>
      </c>
      <c r="O4" s="24">
        <v>1.018</v>
      </c>
      <c r="P4" s="24">
        <v>0.64500000000000002</v>
      </c>
    </row>
    <row r="5" spans="2:16">
      <c r="B5" s="24">
        <v>2</v>
      </c>
      <c r="C5" s="24" t="s">
        <v>385</v>
      </c>
      <c r="D5" s="24">
        <v>1.512</v>
      </c>
      <c r="E5" s="24">
        <v>1.3480000000000001</v>
      </c>
      <c r="F5" s="24">
        <v>1.282</v>
      </c>
      <c r="G5" s="24">
        <v>1.06</v>
      </c>
      <c r="H5" s="24">
        <v>0.94099999999999995</v>
      </c>
      <c r="I5" s="24">
        <v>1.0209999999999999</v>
      </c>
      <c r="J5" s="24">
        <v>0.86699999999999999</v>
      </c>
      <c r="K5" s="24">
        <v>1.0389999999999999</v>
      </c>
      <c r="L5" s="24">
        <v>0.92500000000000004</v>
      </c>
      <c r="M5" s="24">
        <v>0.96399999999999997</v>
      </c>
      <c r="N5" s="24">
        <v>0.97199999999999998</v>
      </c>
      <c r="O5" s="24">
        <v>0.78300000000000003</v>
      </c>
      <c r="P5" s="24">
        <v>0.28599999999999998</v>
      </c>
    </row>
    <row r="6" spans="2:16">
      <c r="B6" s="24">
        <v>3</v>
      </c>
      <c r="C6" s="24" t="s">
        <v>386</v>
      </c>
      <c r="D6" s="24">
        <v>1.143</v>
      </c>
      <c r="E6" s="24">
        <v>1.2390000000000001</v>
      </c>
      <c r="F6" s="24">
        <v>1.2250000000000001</v>
      </c>
      <c r="G6" s="24">
        <v>0.81699999999999995</v>
      </c>
      <c r="H6" s="24">
        <v>0.93500000000000005</v>
      </c>
      <c r="I6" s="24">
        <v>1.0820000000000001</v>
      </c>
      <c r="J6" s="24">
        <v>0.67100000000000004</v>
      </c>
      <c r="K6" s="24">
        <v>0.78700000000000003</v>
      </c>
      <c r="L6" s="24">
        <v>1.1319999999999999</v>
      </c>
      <c r="M6" s="24">
        <v>1.175</v>
      </c>
      <c r="N6" s="24">
        <v>1.278</v>
      </c>
      <c r="O6" s="24">
        <v>0.89700000000000002</v>
      </c>
      <c r="P6" s="24">
        <v>0.61899999999999999</v>
      </c>
    </row>
    <row r="7" spans="2:16">
      <c r="B7" s="24">
        <v>4</v>
      </c>
      <c r="C7" s="24" t="s">
        <v>387</v>
      </c>
      <c r="D7" s="24">
        <v>0.92400000000000004</v>
      </c>
      <c r="E7" s="24">
        <v>0.80300000000000005</v>
      </c>
      <c r="F7" s="24">
        <v>1.238</v>
      </c>
      <c r="G7" s="24">
        <v>0.84299999999999997</v>
      </c>
      <c r="H7" s="24">
        <v>0.92600000000000005</v>
      </c>
      <c r="I7" s="24">
        <v>1.246</v>
      </c>
      <c r="J7" s="24">
        <v>0.82199999999999995</v>
      </c>
      <c r="K7" s="24">
        <v>0.81</v>
      </c>
      <c r="L7" s="24">
        <v>1.137</v>
      </c>
      <c r="M7" s="24">
        <v>1.4550000000000001</v>
      </c>
      <c r="N7" s="24">
        <v>1.4650000000000001</v>
      </c>
      <c r="O7" s="24">
        <v>0.23300000000000001</v>
      </c>
      <c r="P7" s="24">
        <v>1.0980000000000001</v>
      </c>
    </row>
    <row r="8" spans="2:16">
      <c r="B8" s="24">
        <v>5</v>
      </c>
      <c r="C8" s="24" t="s">
        <v>388</v>
      </c>
      <c r="D8" s="24">
        <v>1.218</v>
      </c>
      <c r="E8" s="24">
        <v>0.83099999999999996</v>
      </c>
      <c r="F8" s="24">
        <v>1.278</v>
      </c>
      <c r="G8" s="24">
        <v>0.624</v>
      </c>
      <c r="H8" s="24">
        <v>0.7</v>
      </c>
      <c r="I8" s="24">
        <v>1.0269999999999999</v>
      </c>
      <c r="J8" s="24">
        <v>0.24099999999999999</v>
      </c>
      <c r="K8" s="24">
        <v>0.4</v>
      </c>
      <c r="L8" s="24">
        <v>1.29</v>
      </c>
      <c r="M8" s="24">
        <v>0.96099999999999997</v>
      </c>
      <c r="N8" s="24">
        <v>0.97399999999999998</v>
      </c>
      <c r="O8" s="24">
        <v>0.747</v>
      </c>
      <c r="P8" s="24">
        <v>2.7090000000000001</v>
      </c>
    </row>
    <row r="9" spans="2:16">
      <c r="B9" s="24">
        <v>6</v>
      </c>
      <c r="C9" s="24" t="s">
        <v>389</v>
      </c>
      <c r="D9" s="24">
        <v>0.76100000000000001</v>
      </c>
      <c r="E9" s="24">
        <v>0.83899999999999997</v>
      </c>
      <c r="F9" s="24">
        <v>1.1839999999999999</v>
      </c>
      <c r="G9" s="24">
        <v>0.91</v>
      </c>
      <c r="H9" s="24">
        <v>1.161</v>
      </c>
      <c r="I9" s="24">
        <v>0.95499999999999996</v>
      </c>
      <c r="J9" s="24">
        <v>0.748</v>
      </c>
      <c r="K9" s="24">
        <v>0.82799999999999996</v>
      </c>
      <c r="L9" s="24">
        <v>1.577</v>
      </c>
      <c r="M9" s="24">
        <v>1.1890000000000001</v>
      </c>
      <c r="N9" s="24">
        <v>1.492</v>
      </c>
      <c r="O9" s="24">
        <v>0.76300000000000001</v>
      </c>
      <c r="P9" s="24">
        <v>0.59299999999999997</v>
      </c>
    </row>
    <row r="10" spans="2:16">
      <c r="B10" s="24">
        <v>7</v>
      </c>
      <c r="C10" s="24" t="s">
        <v>140</v>
      </c>
      <c r="D10" s="24">
        <v>0.98399999999999999</v>
      </c>
      <c r="E10" s="24">
        <v>1.016</v>
      </c>
      <c r="F10" s="24">
        <v>1.325</v>
      </c>
      <c r="G10" s="24">
        <v>0.68700000000000006</v>
      </c>
      <c r="H10" s="24">
        <v>0.93700000000000006</v>
      </c>
      <c r="I10" s="24">
        <v>1.1080000000000001</v>
      </c>
      <c r="J10" s="24">
        <v>0.82799999999999996</v>
      </c>
      <c r="K10" s="24">
        <v>0.751</v>
      </c>
      <c r="L10" s="24">
        <v>1.4159999999999999</v>
      </c>
      <c r="M10" s="24">
        <v>1.341</v>
      </c>
      <c r="N10" s="24">
        <v>1.4610000000000001</v>
      </c>
      <c r="O10" s="24">
        <v>0.78100000000000003</v>
      </c>
      <c r="P10" s="24">
        <v>0.36499999999999999</v>
      </c>
    </row>
    <row r="11" spans="2:16">
      <c r="B11" s="24">
        <v>81</v>
      </c>
      <c r="C11" s="24" t="s">
        <v>390</v>
      </c>
      <c r="D11" s="24">
        <v>0.93400000000000005</v>
      </c>
      <c r="E11" s="24">
        <v>0.90300000000000002</v>
      </c>
      <c r="F11" s="24">
        <v>1.2010000000000001</v>
      </c>
      <c r="G11" s="24">
        <v>0.70699999999999996</v>
      </c>
      <c r="H11" s="24">
        <v>0.93500000000000005</v>
      </c>
      <c r="I11" s="24">
        <v>1.0529999999999999</v>
      </c>
      <c r="J11" s="24">
        <v>0.77100000000000002</v>
      </c>
      <c r="K11" s="24">
        <v>1.1000000000000001</v>
      </c>
      <c r="L11" s="24">
        <v>1.405</v>
      </c>
      <c r="M11" s="24">
        <v>1.3029999999999999</v>
      </c>
      <c r="N11" s="24">
        <v>1.3320000000000001</v>
      </c>
      <c r="O11" s="24">
        <v>0.82799999999999996</v>
      </c>
      <c r="P11" s="24">
        <v>0.52800000000000002</v>
      </c>
    </row>
    <row r="12" spans="2:16">
      <c r="B12" s="24">
        <v>82</v>
      </c>
      <c r="C12" s="24" t="s">
        <v>391</v>
      </c>
      <c r="D12" s="24">
        <v>1.1839999999999999</v>
      </c>
      <c r="E12" s="24">
        <v>0.872</v>
      </c>
      <c r="F12" s="24">
        <v>1.194</v>
      </c>
      <c r="G12" s="24">
        <v>0.80900000000000005</v>
      </c>
      <c r="H12" s="24">
        <v>1.0129999999999999</v>
      </c>
      <c r="I12" s="24">
        <v>1.081</v>
      </c>
      <c r="J12" s="24">
        <v>0.74399999999999999</v>
      </c>
      <c r="K12" s="24">
        <v>0.998</v>
      </c>
      <c r="L12" s="24">
        <v>1.4</v>
      </c>
      <c r="M12" s="24">
        <v>1.2350000000000001</v>
      </c>
      <c r="N12" s="24">
        <v>1.3169999999999999</v>
      </c>
      <c r="O12" s="24">
        <v>0.66800000000000004</v>
      </c>
      <c r="P12" s="24">
        <v>0.48499999999999999</v>
      </c>
    </row>
    <row r="13" spans="2:16">
      <c r="B13" s="24">
        <v>83</v>
      </c>
      <c r="C13" s="24" t="s">
        <v>392</v>
      </c>
      <c r="D13" s="24">
        <v>1.1839999999999999</v>
      </c>
      <c r="E13" s="24">
        <v>0.872</v>
      </c>
      <c r="F13" s="24">
        <v>1.194</v>
      </c>
      <c r="G13" s="24">
        <v>0.80900000000000005</v>
      </c>
      <c r="H13" s="24">
        <v>1.0129999999999999</v>
      </c>
      <c r="I13" s="24">
        <v>1.081</v>
      </c>
      <c r="J13" s="24">
        <v>0.74399999999999999</v>
      </c>
      <c r="K13" s="24">
        <v>0.998</v>
      </c>
      <c r="L13" s="24">
        <v>1.4</v>
      </c>
      <c r="M13" s="24">
        <v>1.2350000000000001</v>
      </c>
      <c r="N13" s="24">
        <v>1.3169999999999999</v>
      </c>
      <c r="O13" s="24">
        <v>0.66800000000000004</v>
      </c>
      <c r="P13" s="24">
        <v>0.48499999999999999</v>
      </c>
    </row>
    <row r="14" spans="2:16">
      <c r="B14" s="24">
        <v>9</v>
      </c>
      <c r="C14" s="24" t="s">
        <v>162</v>
      </c>
      <c r="D14" s="24">
        <v>0.98399999999999999</v>
      </c>
      <c r="E14" s="24">
        <v>1.016</v>
      </c>
      <c r="F14" s="24">
        <v>1.325</v>
      </c>
      <c r="G14" s="24">
        <v>0.68700000000000006</v>
      </c>
      <c r="H14" s="24">
        <v>0.93700000000000006</v>
      </c>
      <c r="I14" s="24">
        <v>1.1080000000000001</v>
      </c>
      <c r="J14" s="24">
        <v>0.82799999999999996</v>
      </c>
      <c r="K14" s="24">
        <v>0.751</v>
      </c>
      <c r="L14" s="24">
        <v>1.4159999999999999</v>
      </c>
      <c r="M14" s="24">
        <v>1.341</v>
      </c>
      <c r="N14" s="24">
        <v>1.4610000000000001</v>
      </c>
      <c r="O14" s="24">
        <v>0.78100000000000003</v>
      </c>
      <c r="P14" s="24">
        <v>0.36499999999999999</v>
      </c>
    </row>
    <row r="15" spans="2:16">
      <c r="B15" s="24">
        <v>10</v>
      </c>
      <c r="C15" s="24" t="s">
        <v>393</v>
      </c>
      <c r="D15" s="24">
        <v>0.98399999999999999</v>
      </c>
      <c r="E15" s="24">
        <v>1.016</v>
      </c>
      <c r="F15" s="24">
        <v>1.325</v>
      </c>
      <c r="G15" s="24">
        <v>0.68700000000000006</v>
      </c>
      <c r="H15" s="24">
        <v>0.93700000000000006</v>
      </c>
      <c r="I15" s="24">
        <v>1.1080000000000001</v>
      </c>
      <c r="J15" s="24">
        <v>0.82799999999999996</v>
      </c>
      <c r="K15" s="24">
        <v>0.751</v>
      </c>
      <c r="L15" s="24">
        <v>1.4159999999999999</v>
      </c>
      <c r="M15" s="24">
        <v>1.341</v>
      </c>
      <c r="N15" s="24">
        <v>1.4610000000000001</v>
      </c>
      <c r="O15" s="24">
        <v>0.78100000000000003</v>
      </c>
      <c r="P15" s="24">
        <v>0.36499999999999999</v>
      </c>
    </row>
    <row r="16" spans="2:16">
      <c r="B16" s="24">
        <v>11</v>
      </c>
      <c r="C16" s="24" t="s">
        <v>44</v>
      </c>
      <c r="D16" s="24">
        <v>0.76100000000000001</v>
      </c>
      <c r="E16" s="24">
        <v>0.83899999999999997</v>
      </c>
      <c r="F16" s="24">
        <v>1.1839999999999999</v>
      </c>
      <c r="G16" s="24">
        <v>0.91</v>
      </c>
      <c r="H16" s="24">
        <v>1.161</v>
      </c>
      <c r="I16" s="24">
        <v>0.95499999999999996</v>
      </c>
      <c r="J16" s="24">
        <v>0.748</v>
      </c>
      <c r="K16" s="24">
        <v>0.82799999999999996</v>
      </c>
      <c r="L16" s="24">
        <v>1.577</v>
      </c>
      <c r="M16" s="24">
        <v>1.1890000000000001</v>
      </c>
      <c r="N16" s="24">
        <v>1.492</v>
      </c>
      <c r="O16" s="24">
        <v>0.76300000000000001</v>
      </c>
      <c r="P16" s="24">
        <v>0.59299999999999997</v>
      </c>
    </row>
    <row r="17" spans="2:16">
      <c r="B17" s="24">
        <v>12</v>
      </c>
      <c r="C17" s="24" t="s">
        <v>394</v>
      </c>
      <c r="D17" s="24">
        <v>0.76100000000000001</v>
      </c>
      <c r="E17" s="24">
        <v>0.83899999999999997</v>
      </c>
      <c r="F17" s="24">
        <v>1.1839999999999999</v>
      </c>
      <c r="G17" s="24">
        <v>0.91</v>
      </c>
      <c r="H17" s="24">
        <v>1.161</v>
      </c>
      <c r="I17" s="24">
        <v>0.95499999999999996</v>
      </c>
      <c r="J17" s="24">
        <v>0.748</v>
      </c>
      <c r="K17" s="24">
        <v>0.82799999999999996</v>
      </c>
      <c r="L17" s="24">
        <v>1.577</v>
      </c>
      <c r="M17" s="24">
        <v>1.1890000000000001</v>
      </c>
      <c r="N17" s="24">
        <v>1.492</v>
      </c>
      <c r="O17" s="24">
        <v>0.76300000000000001</v>
      </c>
      <c r="P17" s="24">
        <v>0.59299999999999997</v>
      </c>
    </row>
    <row r="18" spans="2:16">
      <c r="B18" s="24">
        <v>13</v>
      </c>
      <c r="C18" s="24" t="s">
        <v>395</v>
      </c>
      <c r="D18" s="24">
        <v>0.76100000000000001</v>
      </c>
      <c r="E18" s="24">
        <v>0.83899999999999997</v>
      </c>
      <c r="F18" s="24">
        <v>1.1839999999999999</v>
      </c>
      <c r="G18" s="24">
        <v>0.91</v>
      </c>
      <c r="H18" s="24">
        <v>1.161</v>
      </c>
      <c r="I18" s="24">
        <v>0.95499999999999996</v>
      </c>
      <c r="J18" s="24">
        <v>0.748</v>
      </c>
      <c r="K18" s="24">
        <v>0.82799999999999996</v>
      </c>
      <c r="L18" s="24">
        <v>1.577</v>
      </c>
      <c r="M18" s="24">
        <v>1.1890000000000001</v>
      </c>
      <c r="N18" s="24">
        <v>1.492</v>
      </c>
      <c r="O18" s="24">
        <v>0.76300000000000001</v>
      </c>
      <c r="P18" s="24">
        <v>0.59299999999999997</v>
      </c>
    </row>
    <row r="19" spans="2:16">
      <c r="B19" s="24">
        <v>14</v>
      </c>
      <c r="C19" s="24" t="s">
        <v>396</v>
      </c>
      <c r="D19" s="24">
        <v>1</v>
      </c>
      <c r="E19" s="24">
        <v>1</v>
      </c>
      <c r="F19" s="24">
        <v>1</v>
      </c>
      <c r="G19" s="24">
        <v>1</v>
      </c>
      <c r="H19" s="24">
        <v>1</v>
      </c>
      <c r="I19" s="24">
        <v>1</v>
      </c>
      <c r="J19" s="24">
        <v>1</v>
      </c>
      <c r="K19" s="24">
        <v>1</v>
      </c>
      <c r="L19" s="24">
        <v>1</v>
      </c>
      <c r="M19" s="24">
        <v>1</v>
      </c>
      <c r="N19" s="24">
        <v>1</v>
      </c>
      <c r="O19" s="24">
        <v>1</v>
      </c>
      <c r="P19" s="24">
        <v>1</v>
      </c>
    </row>
    <row r="20" spans="2:16">
      <c r="B20" s="24">
        <v>15</v>
      </c>
      <c r="C20" s="24" t="s">
        <v>397</v>
      </c>
      <c r="D20" s="24">
        <v>0.76100000000000001</v>
      </c>
      <c r="E20" s="24">
        <v>0.83899999999999997</v>
      </c>
      <c r="F20" s="24">
        <v>1.1839999999999999</v>
      </c>
      <c r="G20" s="24">
        <v>0.91</v>
      </c>
      <c r="H20" s="24">
        <v>1.161</v>
      </c>
      <c r="I20" s="24">
        <v>0.95499999999999996</v>
      </c>
      <c r="J20" s="24">
        <v>0.748</v>
      </c>
      <c r="K20" s="24">
        <v>0.82799999999999996</v>
      </c>
      <c r="L20" s="24">
        <v>1.577</v>
      </c>
      <c r="M20" s="24">
        <v>1.1890000000000001</v>
      </c>
      <c r="N20" s="24">
        <v>1.492</v>
      </c>
      <c r="O20" s="24">
        <v>0.76300000000000001</v>
      </c>
      <c r="P20" s="24">
        <v>0.59299999999999997</v>
      </c>
    </row>
    <row r="21" spans="2:16">
      <c r="B21" s="24">
        <v>16</v>
      </c>
      <c r="C21" s="24" t="s">
        <v>398</v>
      </c>
      <c r="D21" s="24">
        <v>1.077</v>
      </c>
      <c r="E21" s="24">
        <v>0.93799999999999994</v>
      </c>
      <c r="F21" s="24">
        <v>1.181</v>
      </c>
      <c r="G21" s="24">
        <v>0.71699999999999997</v>
      </c>
      <c r="H21" s="24">
        <v>0.88700000000000001</v>
      </c>
      <c r="I21" s="24">
        <v>1.0840000000000001</v>
      </c>
      <c r="J21" s="24">
        <v>0.79500000000000004</v>
      </c>
      <c r="K21" s="24">
        <v>0.92400000000000004</v>
      </c>
      <c r="L21" s="24">
        <v>1.282</v>
      </c>
      <c r="M21" s="24">
        <v>1.3069999999999999</v>
      </c>
      <c r="N21" s="24">
        <v>1.33</v>
      </c>
      <c r="O21" s="24">
        <v>0.93</v>
      </c>
      <c r="P21" s="24">
        <v>0.54800000000000004</v>
      </c>
    </row>
    <row r="22" spans="2:16">
      <c r="B22" s="24">
        <v>18</v>
      </c>
      <c r="C22" s="24" t="s">
        <v>503</v>
      </c>
      <c r="D22" s="24">
        <v>1</v>
      </c>
      <c r="E22" s="24">
        <v>1</v>
      </c>
      <c r="F22" s="24">
        <v>1</v>
      </c>
      <c r="G22" s="24">
        <v>1</v>
      </c>
      <c r="H22" s="24">
        <v>1</v>
      </c>
      <c r="I22" s="24">
        <v>1</v>
      </c>
      <c r="J22" s="24">
        <v>1</v>
      </c>
      <c r="K22" s="24">
        <v>1</v>
      </c>
      <c r="L22" s="24">
        <v>1</v>
      </c>
      <c r="M22" s="24">
        <v>1</v>
      </c>
      <c r="N22" s="24">
        <v>1</v>
      </c>
      <c r="O22" s="24">
        <v>1</v>
      </c>
      <c r="P22" s="24">
        <v>1</v>
      </c>
    </row>
  </sheetData>
  <sheetProtection selectLockedCells="1" selectUnlockedCells="1"/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8"/>
  <sheetViews>
    <sheetView showGridLines="0" topLeftCell="D1" zoomScaleNormal="100" workbookViewId="0">
      <selection activeCell="B3" sqref="B3:C32"/>
    </sheetView>
  </sheetViews>
  <sheetFormatPr defaultColWidth="9.140625" defaultRowHeight="15"/>
  <cols>
    <col min="1" max="1" width="3" style="13" customWidth="1"/>
    <col min="2" max="2" width="20.140625" style="13" customWidth="1"/>
    <col min="3" max="3" width="117.140625" style="13" bestFit="1" customWidth="1"/>
    <col min="4" max="4" width="18.42578125" style="13" customWidth="1"/>
    <col min="5" max="5" width="13.5703125" style="13" customWidth="1"/>
    <col min="6" max="6" width="10.85546875" style="13" bestFit="1" customWidth="1"/>
    <col min="7" max="7" width="17.42578125" style="13" bestFit="1" customWidth="1"/>
    <col min="8" max="8" width="20.28515625" style="13" customWidth="1"/>
    <col min="9" max="9" width="20" style="13" customWidth="1"/>
    <col min="10" max="10" width="15.85546875" style="13" customWidth="1"/>
    <col min="11" max="11" width="22.7109375" style="13" customWidth="1"/>
    <col min="12" max="12" width="28.140625" style="13" customWidth="1"/>
    <col min="13" max="13" width="11.28515625" style="13" customWidth="1"/>
    <col min="14" max="14" width="72.42578125" style="13" customWidth="1"/>
    <col min="15" max="16384" width="9.140625" style="13"/>
  </cols>
  <sheetData>
    <row r="1" spans="2:14">
      <c r="B1" s="13" t="s">
        <v>1</v>
      </c>
    </row>
    <row r="2" spans="2:14">
      <c r="B2" s="13" t="s">
        <v>2</v>
      </c>
      <c r="C2" s="13" t="s">
        <v>52</v>
      </c>
      <c r="D2" s="13" t="s">
        <v>3</v>
      </c>
      <c r="E2" s="13" t="s">
        <v>4</v>
      </c>
      <c r="F2" s="13" t="s">
        <v>5</v>
      </c>
      <c r="G2" s="13" t="s">
        <v>255</v>
      </c>
      <c r="H2" s="13" t="s">
        <v>260</v>
      </c>
      <c r="I2" s="13" t="s">
        <v>261</v>
      </c>
      <c r="K2" s="13" t="s">
        <v>211</v>
      </c>
      <c r="L2" s="13" t="s">
        <v>84</v>
      </c>
      <c r="M2" s="13" t="s">
        <v>212</v>
      </c>
      <c r="N2" s="13" t="s">
        <v>218</v>
      </c>
    </row>
    <row r="3" spans="2:14">
      <c r="B3" s="13">
        <v>1.1100000000000001</v>
      </c>
      <c r="C3" s="13" t="str">
        <f t="shared" ref="C3:C66" si="0">CONCATENATE(B3," - ",D3)</f>
        <v>1.11 - Stroke, Haemorrhagic, Left Body Involvement(Right Brain)</v>
      </c>
      <c r="D3" s="3" t="s">
        <v>417</v>
      </c>
      <c r="E3" s="13">
        <f t="shared" ref="E3:E66" si="1">ROUNDDOWN(B3,0)</f>
        <v>1</v>
      </c>
      <c r="F3" s="13">
        <f t="shared" ref="F3:F66" si="2">(B3-E3)*10000</f>
        <v>1100.0000000000009</v>
      </c>
      <c r="G3" s="13">
        <v>1</v>
      </c>
      <c r="H3" s="13">
        <v>2</v>
      </c>
      <c r="I3" s="13" t="s">
        <v>262</v>
      </c>
      <c r="K3" s="13" t="e">
        <f>IF(AND(RehabTypeValue=1,  R.W.FIM_Motorv5&lt;=18,WFIMLowGroupv5=1,Agev5&gt;=59),"MATCH","###")</f>
        <v>#N/A</v>
      </c>
      <c r="L3" s="13" t="s">
        <v>512</v>
      </c>
      <c r="M3" s="13" t="s">
        <v>369</v>
      </c>
      <c r="N3" s="13" t="s">
        <v>562</v>
      </c>
    </row>
    <row r="4" spans="2:14">
      <c r="B4" s="13">
        <v>1.1200000000000001</v>
      </c>
      <c r="C4" s="13" t="str">
        <f t="shared" si="0"/>
        <v>1.12 - Stroke, Haemorrhagic, Right Body Involvement(Left Brain)</v>
      </c>
      <c r="D4" s="3" t="s">
        <v>418</v>
      </c>
      <c r="E4" s="13">
        <f t="shared" si="1"/>
        <v>1</v>
      </c>
      <c r="F4" s="13">
        <f t="shared" si="2"/>
        <v>1200.0000000000011</v>
      </c>
      <c r="G4" s="13">
        <v>1</v>
      </c>
      <c r="H4" s="13">
        <v>2</v>
      </c>
      <c r="I4" s="13" t="s">
        <v>262</v>
      </c>
      <c r="K4" s="13" t="e">
        <f>IF(AND(RehabTypeValue=1,Agev5 &gt;=18,R.W.FIM_Motorv5&lt;=18,WFIMLowGroupv5=1,Agev5&lt;=58),"MATCH","###")</f>
        <v>#N/A</v>
      </c>
      <c r="L4" s="13" t="s">
        <v>513</v>
      </c>
      <c r="M4" s="13" t="s">
        <v>369</v>
      </c>
      <c r="N4" s="13" t="s">
        <v>563</v>
      </c>
    </row>
    <row r="5" spans="2:14">
      <c r="B5" s="13">
        <v>1.1299999999999999</v>
      </c>
      <c r="C5" s="13" t="str">
        <f t="shared" si="0"/>
        <v>1.13 - Stroke, Haemorrhagic, Bilateral Involvement</v>
      </c>
      <c r="D5" s="3" t="s">
        <v>419</v>
      </c>
      <c r="E5" s="13">
        <f t="shared" si="1"/>
        <v>1</v>
      </c>
      <c r="F5" s="13">
        <f t="shared" si="2"/>
        <v>1299.9999999999989</v>
      </c>
      <c r="G5" s="13">
        <v>1</v>
      </c>
      <c r="H5" s="13">
        <v>2</v>
      </c>
      <c r="I5" s="13" t="s">
        <v>262</v>
      </c>
      <c r="K5" s="13" t="e">
        <f>IF(AND(RehabTypeValue=1, R.W.FIM_Motorv5&lt;=18, WFIMLowGroupv5=2,Agev5&gt;=79),"MATCH","###")</f>
        <v>#N/A</v>
      </c>
      <c r="L5" s="13" t="s">
        <v>514</v>
      </c>
      <c r="M5" s="13" t="s">
        <v>369</v>
      </c>
      <c r="N5" s="13" t="s">
        <v>564</v>
      </c>
    </row>
    <row r="6" spans="2:14">
      <c r="B6" s="13">
        <v>1.1399999999999999</v>
      </c>
      <c r="C6" s="13" t="str">
        <f t="shared" si="0"/>
        <v>1.14 - Stroke, Haemorrhagic, No Paresis</v>
      </c>
      <c r="D6" s="3" t="s">
        <v>416</v>
      </c>
      <c r="E6" s="13">
        <f t="shared" si="1"/>
        <v>1</v>
      </c>
      <c r="F6" s="13">
        <f t="shared" si="2"/>
        <v>1399.9999999999991</v>
      </c>
      <c r="G6" s="13">
        <v>1</v>
      </c>
      <c r="H6" s="13">
        <v>2</v>
      </c>
      <c r="I6" s="13" t="s">
        <v>262</v>
      </c>
      <c r="K6" s="13" t="e">
        <f>IF(AND(RehabTypeValue=1,Agev5 &gt;=18, R.W.FIM_Motorv5&lt;=18, WFIMLowGroupv5=2,Agev5&lt;=78),"MATCH","###")</f>
        <v>#N/A</v>
      </c>
      <c r="L6" s="13" t="s">
        <v>515</v>
      </c>
      <c r="M6" s="13" t="s">
        <v>369</v>
      </c>
      <c r="N6" s="13" t="s">
        <v>565</v>
      </c>
    </row>
    <row r="7" spans="2:14">
      <c r="B7" s="13">
        <v>1.19</v>
      </c>
      <c r="C7" s="13" t="str">
        <f t="shared" si="0"/>
        <v>1.19 - Other haemorrhagic stroke</v>
      </c>
      <c r="D7" s="3" t="s">
        <v>6</v>
      </c>
      <c r="E7" s="13">
        <f t="shared" si="1"/>
        <v>1</v>
      </c>
      <c r="F7" s="13">
        <f t="shared" si="2"/>
        <v>1899.9999999999995</v>
      </c>
      <c r="G7" s="13">
        <v>1</v>
      </c>
      <c r="H7" s="13">
        <v>2</v>
      </c>
      <c r="I7" s="13" t="s">
        <v>262</v>
      </c>
      <c r="K7" s="13" t="e">
        <f>IF(AND(RehabTypeValue=1,R.W.FIM_Motorv5&gt;18,WFIMHighGroupv5="A",R.W.FIM_Motorv5&gt;=63,R.W.FIM_Motorv5&lt;=91,FIM_Cognition&gt;=30),"MATCH","###")</f>
        <v>#N/A</v>
      </c>
      <c r="L7" s="13" t="s">
        <v>516</v>
      </c>
      <c r="M7" s="13" t="s">
        <v>369</v>
      </c>
      <c r="N7" s="13" t="s">
        <v>566</v>
      </c>
    </row>
    <row r="8" spans="2:14">
      <c r="B8" s="13">
        <v>1.21</v>
      </c>
      <c r="C8" s="13" t="str">
        <f t="shared" si="0"/>
        <v>1.21 - Stroke, Ischaemic, Left Body Involvement(Right Brain)</v>
      </c>
      <c r="D8" s="3" t="s">
        <v>7</v>
      </c>
      <c r="E8" s="13">
        <f t="shared" si="1"/>
        <v>1</v>
      </c>
      <c r="F8" s="13">
        <f t="shared" si="2"/>
        <v>2099.9999999999995</v>
      </c>
      <c r="G8" s="13">
        <v>1</v>
      </c>
      <c r="H8" s="13">
        <v>2</v>
      </c>
      <c r="I8" s="13" t="s">
        <v>262</v>
      </c>
      <c r="K8" s="13" t="e">
        <f>IF(AND(RehabTypeValue=1,R.W.FIM_Motorv5&gt;18,WFIMHighGroupv5="A",R.W.FIM_Motorv5&gt;=63,R.W.FIM_Motorv5&lt;=91,FIM_Cognition&lt;=29,FIM_Cognition&gt;=21),"MATCH","###")</f>
        <v>#N/A</v>
      </c>
      <c r="L8" s="13" t="s">
        <v>517</v>
      </c>
      <c r="M8" s="13" t="s">
        <v>369</v>
      </c>
      <c r="N8" s="13" t="s">
        <v>567</v>
      </c>
    </row>
    <row r="9" spans="2:14">
      <c r="B9" s="13">
        <v>1.22</v>
      </c>
      <c r="C9" s="13" t="str">
        <f t="shared" si="0"/>
        <v>1.22 - Stroke, Ischaemic, Right Body Involvement(Left Brain)</v>
      </c>
      <c r="D9" s="3" t="s">
        <v>8</v>
      </c>
      <c r="E9" s="13">
        <f t="shared" si="1"/>
        <v>1</v>
      </c>
      <c r="F9" s="13">
        <f t="shared" si="2"/>
        <v>2199.9999999999995</v>
      </c>
      <c r="G9" s="13">
        <v>1</v>
      </c>
      <c r="H9" s="13">
        <v>2</v>
      </c>
      <c r="I9" s="13" t="s">
        <v>262</v>
      </c>
      <c r="K9" s="13" t="e">
        <f>IF(AND(RehabTypeValue=1,R.W.FIM_Motorv5&gt;18,WFIMHighGroupv5="A",R.W.FIM_Motorv5&gt;=63,R.W.FIM_Motorv5&lt;=91,FIM_Cognition&lt;=20),"MATCH","###")</f>
        <v>#N/A</v>
      </c>
      <c r="L9" s="13" t="s">
        <v>518</v>
      </c>
      <c r="M9" s="13" t="s">
        <v>369</v>
      </c>
      <c r="N9" s="13" t="s">
        <v>568</v>
      </c>
    </row>
    <row r="10" spans="2:14">
      <c r="B10" s="13">
        <v>1.23</v>
      </c>
      <c r="C10" s="13" t="str">
        <f t="shared" si="0"/>
        <v>1.23 - Stroke, Ischaemic, Bilateral Involvement</v>
      </c>
      <c r="D10" s="3" t="s">
        <v>9</v>
      </c>
      <c r="E10" s="13">
        <f t="shared" si="1"/>
        <v>1</v>
      </c>
      <c r="F10" s="13">
        <f t="shared" si="2"/>
        <v>2300</v>
      </c>
      <c r="G10" s="13">
        <v>1</v>
      </c>
      <c r="H10" s="13">
        <v>2</v>
      </c>
      <c r="I10" s="13" t="s">
        <v>262</v>
      </c>
      <c r="K10" s="13" t="e">
        <f>IF(AND(RehabTypeValue=1,R.W.FIM_Motorv5&gt;18,WFIMHighGroupv5="A",R.W.FIM_Motorv5&gt;=44,R.W.FIM_Motorv5&lt;=62,FIM_Cognition&lt;=35,FIM_Cognition&gt;=18),"MATCH","###")</f>
        <v>#N/A</v>
      </c>
      <c r="L10" s="13" t="s">
        <v>519</v>
      </c>
      <c r="M10" s="13" t="s">
        <v>369</v>
      </c>
      <c r="N10" s="13" t="s">
        <v>569</v>
      </c>
    </row>
    <row r="11" spans="2:14">
      <c r="B11" s="13">
        <v>1.24</v>
      </c>
      <c r="C11" s="13" t="str">
        <f t="shared" si="0"/>
        <v>1.24 - Stroke, Ischaemic, No Paresis</v>
      </c>
      <c r="D11" s="3" t="s">
        <v>471</v>
      </c>
      <c r="E11" s="13">
        <f t="shared" si="1"/>
        <v>1</v>
      </c>
      <c r="F11" s="13">
        <f t="shared" si="2"/>
        <v>2400</v>
      </c>
      <c r="G11" s="13">
        <v>1</v>
      </c>
      <c r="H11" s="13">
        <v>2</v>
      </c>
      <c r="I11" s="13" t="s">
        <v>262</v>
      </c>
      <c r="K11" s="13" t="e">
        <f>IF(AND(RehabTypeValue=1,R.W.FIM_Motorv5&gt;18,WFIMHighGroupv5="A",R.W.FIM_Motorv5&gt;=44,R.W.FIM_Motorv5&lt;=62,FIM_Cognition&lt;=17,FIM_Cognition&gt;=5),"MATCH","###")</f>
        <v>#N/A</v>
      </c>
      <c r="L11" s="13" t="s">
        <v>520</v>
      </c>
      <c r="M11" s="13" t="s">
        <v>369</v>
      </c>
      <c r="N11" s="13" t="s">
        <v>570</v>
      </c>
    </row>
    <row r="12" spans="2:14">
      <c r="B12" s="13">
        <v>1.29</v>
      </c>
      <c r="C12" s="13" t="str">
        <f t="shared" si="0"/>
        <v>1.29 - Otherischaemic stroke</v>
      </c>
      <c r="D12" s="3" t="s">
        <v>10</v>
      </c>
      <c r="E12" s="13">
        <f t="shared" si="1"/>
        <v>1</v>
      </c>
      <c r="F12" s="13">
        <f t="shared" si="2"/>
        <v>2900.0000000000005</v>
      </c>
      <c r="G12" s="13">
        <v>1</v>
      </c>
      <c r="H12" s="13">
        <v>2</v>
      </c>
      <c r="I12" s="13" t="s">
        <v>262</v>
      </c>
      <c r="K12" s="13" t="e">
        <f>IF(AND(RehabTypeValue=1,R.W.FIM_Motorv5&gt;18,WFIMHighGroupv5="A",R.W.FIM_Motorv5&gt;=19,R.W.FIM_Motorv5&lt;=43,Agev5&gt;=80),"MATCH","###")</f>
        <v>#N/A</v>
      </c>
      <c r="L12" s="13" t="s">
        <v>521</v>
      </c>
      <c r="M12" s="13" t="s">
        <v>369</v>
      </c>
      <c r="N12" s="13" t="s">
        <v>571</v>
      </c>
    </row>
    <row r="13" spans="2:14">
      <c r="B13" s="13">
        <v>2.11</v>
      </c>
      <c r="C13" s="13" t="str">
        <f t="shared" si="0"/>
        <v>2.11 - BrainDysfunction, Non traumatic, subarachnoid haemorrhage</v>
      </c>
      <c r="D13" s="3" t="s">
        <v>421</v>
      </c>
      <c r="E13" s="13">
        <f t="shared" si="1"/>
        <v>2</v>
      </c>
      <c r="F13" s="13">
        <f t="shared" si="2"/>
        <v>1099.9999999999989</v>
      </c>
      <c r="G13" s="13">
        <v>2</v>
      </c>
      <c r="H13" s="13">
        <v>1</v>
      </c>
      <c r="I13" s="13" t="s">
        <v>263</v>
      </c>
      <c r="K13" s="13" t="e">
        <f>IF(AND(RehabTypeValue=1,R.W.FIM_Motorv5&gt;18,WFIMHighGroupv5="A",R.W.FIM_Motorv5&gt;=19,R.W.FIM_Motorv5&lt;=43,Agev5&lt;=79,Agev5&gt;=67),"MATCH","###")</f>
        <v>#N/A</v>
      </c>
      <c r="L13" s="13" t="s">
        <v>522</v>
      </c>
      <c r="M13" s="13" t="s">
        <v>369</v>
      </c>
      <c r="N13" s="13" t="s">
        <v>572</v>
      </c>
    </row>
    <row r="14" spans="2:14">
      <c r="B14" s="13">
        <v>2.12</v>
      </c>
      <c r="C14" s="13" t="str">
        <f t="shared" si="0"/>
        <v>2.12 - BrainDysfunction, Non traumatic, Anoxic brain damage</v>
      </c>
      <c r="D14" s="3" t="s">
        <v>420</v>
      </c>
      <c r="E14" s="13">
        <f t="shared" si="1"/>
        <v>2</v>
      </c>
      <c r="F14" s="13">
        <f t="shared" si="2"/>
        <v>1200.0000000000011</v>
      </c>
      <c r="G14" s="13">
        <v>2</v>
      </c>
      <c r="H14" s="13">
        <v>1</v>
      </c>
      <c r="I14" s="13" t="s">
        <v>263</v>
      </c>
      <c r="K14" s="13" t="e">
        <f>IF(AND(RehabTypeValue=1,R.W.FIM_Motorv5&gt;18,WFIMHighGroupv5="A",R.W.FIM_Motorv5&gt;=19,R.W.FIM_Motorv5&lt;=43,Agev5&lt;=66),"MATCH","###")</f>
        <v>#N/A</v>
      </c>
      <c r="L14" s="13" t="s">
        <v>523</v>
      </c>
      <c r="M14" s="13" t="s">
        <v>369</v>
      </c>
      <c r="N14" s="13" t="s">
        <v>573</v>
      </c>
    </row>
    <row r="15" spans="2:14">
      <c r="B15" s="13">
        <v>2.13</v>
      </c>
      <c r="C15" s="13" t="str">
        <f t="shared" si="0"/>
        <v>2.13 - Other non‐traumatic brain dysfunction</v>
      </c>
      <c r="D15" s="3" t="s">
        <v>11</v>
      </c>
      <c r="E15" s="13">
        <f t="shared" si="1"/>
        <v>2</v>
      </c>
      <c r="F15" s="13">
        <f t="shared" si="2"/>
        <v>1299.9999999999989</v>
      </c>
      <c r="G15" s="13">
        <v>2</v>
      </c>
      <c r="H15" s="13">
        <v>1</v>
      </c>
      <c r="I15" s="13" t="s">
        <v>263</v>
      </c>
      <c r="K15" s="13" t="e">
        <f>IF(AND(RehabTypeValue=1,R.W.FIM_Motorv5&gt;18,WFIMHighGroupv5="B",R.W.FIM_Motorv5&gt;=59,R.W.FIM_Motorv5&lt;=91,FIM_Cognition&lt;=35,FIM_Cognition&gt;=27),"MATCH","###")</f>
        <v>#N/A</v>
      </c>
      <c r="L15" s="13" t="s">
        <v>524</v>
      </c>
      <c r="M15" s="13" t="s">
        <v>369</v>
      </c>
      <c r="N15" s="13" t="s">
        <v>574</v>
      </c>
    </row>
    <row r="16" spans="2:14">
      <c r="B16" s="13">
        <v>2.21</v>
      </c>
      <c r="C16" s="13" t="str">
        <f t="shared" si="0"/>
        <v>2.21 - BrainDysfunction, Traumatic, open injury</v>
      </c>
      <c r="D16" s="3" t="s">
        <v>12</v>
      </c>
      <c r="E16" s="13">
        <f t="shared" si="1"/>
        <v>2</v>
      </c>
      <c r="F16" s="13">
        <f t="shared" si="2"/>
        <v>2099.9999999999995</v>
      </c>
      <c r="G16" s="13">
        <v>2</v>
      </c>
      <c r="H16" s="13">
        <v>1</v>
      </c>
      <c r="I16" s="13" t="s">
        <v>263</v>
      </c>
      <c r="K16" s="13" t="e">
        <f>IF(AND(RehabTypeValue=1,R.W.FIM_Motorv5&gt;18,WFIMHighGroupv5="B",R.W.FIM_Motorv5&gt;=19,R.W.FIM_Motorv5&lt;=58,FIM_Cognition&lt;=35,FIM_Cognition&gt;=27),"MATCH","###")</f>
        <v>#N/A</v>
      </c>
      <c r="L16" s="13" t="s">
        <v>525</v>
      </c>
      <c r="M16" s="13" t="s">
        <v>369</v>
      </c>
      <c r="N16" s="13" t="s">
        <v>575</v>
      </c>
    </row>
    <row r="17" spans="2:14">
      <c r="B17" s="13">
        <v>2.2200000000000002</v>
      </c>
      <c r="C17" s="13" t="str">
        <f t="shared" si="0"/>
        <v>2.22 - BrainDysfunction, Traumatic, closed injury</v>
      </c>
      <c r="D17" s="3" t="s">
        <v>13</v>
      </c>
      <c r="E17" s="13">
        <f t="shared" si="1"/>
        <v>2</v>
      </c>
      <c r="F17" s="13">
        <f t="shared" si="2"/>
        <v>2200.0000000000018</v>
      </c>
      <c r="G17" s="13">
        <v>2</v>
      </c>
      <c r="H17" s="13">
        <v>1</v>
      </c>
      <c r="I17" s="13" t="s">
        <v>263</v>
      </c>
      <c r="K17" s="13" t="e">
        <f>IF(AND(RehabTypeValue=1,R.W.FIM_Motorv5&gt;18,WFIMHighGroupv5="B",R.W.FIM_Motorv5&gt;=50,R.W.FIM_Motorv5&lt;=91,FIM_Cognition&lt;=26,FIM_Cognition&gt;=19),"MATCH","###")</f>
        <v>#N/A</v>
      </c>
      <c r="L17" s="13" t="s">
        <v>526</v>
      </c>
      <c r="M17" s="13" t="s">
        <v>369</v>
      </c>
      <c r="N17" s="13" t="s">
        <v>576</v>
      </c>
    </row>
    <row r="18" spans="2:14">
      <c r="B18" s="13">
        <v>3.1</v>
      </c>
      <c r="C18" s="13" t="str">
        <f t="shared" si="0"/>
        <v>3.1 - Neurological conditions, Multiple sclerosis</v>
      </c>
      <c r="D18" s="3" t="s">
        <v>404</v>
      </c>
      <c r="E18" s="13">
        <f t="shared" si="1"/>
        <v>3</v>
      </c>
      <c r="F18" s="13">
        <f t="shared" si="2"/>
        <v>1000.0000000000009</v>
      </c>
      <c r="G18" s="13">
        <v>3</v>
      </c>
      <c r="H18" s="13">
        <v>2</v>
      </c>
      <c r="I18" s="13" t="s">
        <v>264</v>
      </c>
      <c r="K18" s="13" t="e">
        <f>IF(AND(RehabTypeValue=1,R.W.FIM_Motorv5&gt;18,WFIMHighGroupv5="B",R.W.FIM_Motorv5&gt;=19,R.W.FIM_Motorv5&lt;=49,FIM_Cognition&lt;=26,FIM_Cognition&gt;=19),"MATCH","###")</f>
        <v>#N/A</v>
      </c>
      <c r="L18" s="13" t="s">
        <v>527</v>
      </c>
      <c r="M18" s="13" t="s">
        <v>369</v>
      </c>
      <c r="N18" s="13" t="s">
        <v>577</v>
      </c>
    </row>
    <row r="19" spans="2:14">
      <c r="B19" s="13">
        <v>3.2</v>
      </c>
      <c r="C19" s="13" t="str">
        <f t="shared" si="0"/>
        <v>3.2 - Neurological conditions, Parkinsonism</v>
      </c>
      <c r="D19" s="3" t="s">
        <v>14</v>
      </c>
      <c r="E19" s="13">
        <f t="shared" si="1"/>
        <v>3</v>
      </c>
      <c r="F19" s="13">
        <f t="shared" si="2"/>
        <v>2000.0000000000018</v>
      </c>
      <c r="G19" s="13">
        <v>3</v>
      </c>
      <c r="H19" s="13">
        <v>2</v>
      </c>
      <c r="I19" s="13" t="s">
        <v>264</v>
      </c>
      <c r="K19" s="13" t="e">
        <f>IF(AND(RehabTypeValue=1,R.W.FIM_Motorv5&gt;18,WFIMHighGroupv5="B",R.W.FIM_Motorv5&gt;=39,R.W.FIM_Motorv5&lt;=91,FIM_Cognition&lt;=18,FIM_Cognition&gt;=5),"MATCH","###")</f>
        <v>#N/A</v>
      </c>
      <c r="L19" s="13" t="s">
        <v>528</v>
      </c>
      <c r="M19" s="13" t="s">
        <v>369</v>
      </c>
      <c r="N19" s="13" t="s">
        <v>578</v>
      </c>
    </row>
    <row r="20" spans="2:14">
      <c r="B20" s="13">
        <v>3.3</v>
      </c>
      <c r="C20" s="13" t="str">
        <f t="shared" si="0"/>
        <v>3.3 - Neurological conditions, Polyneuropathy</v>
      </c>
      <c r="D20" s="3" t="s">
        <v>15</v>
      </c>
      <c r="E20" s="13">
        <f t="shared" si="1"/>
        <v>3</v>
      </c>
      <c r="F20" s="13">
        <f t="shared" si="2"/>
        <v>2999.9999999999982</v>
      </c>
      <c r="G20" s="13">
        <v>3</v>
      </c>
      <c r="H20" s="13">
        <v>2</v>
      </c>
      <c r="I20" s="13" t="s">
        <v>264</v>
      </c>
      <c r="K20" s="13" t="e">
        <f>IF(AND(RehabTypeValue=1,R.W.FIM_Motorv5&gt;18,WFIMHighGroupv5="B",R.W.FIM_Motorv5&gt;=19,R.W.FIM_Motorv5&lt;=38,FIM_Cognition&lt;=18,FIM_Cognition&gt;=5),"MATCH","###")</f>
        <v>#N/A</v>
      </c>
      <c r="L20" s="13" t="s">
        <v>529</v>
      </c>
      <c r="M20" s="13" t="s">
        <v>369</v>
      </c>
      <c r="N20" s="13" t="s">
        <v>579</v>
      </c>
    </row>
    <row r="21" spans="2:14">
      <c r="B21" s="13">
        <v>3.4</v>
      </c>
      <c r="C21" s="13" t="str">
        <f t="shared" si="0"/>
        <v>3.4 - Neurological conditions, Guillian‐Barre</v>
      </c>
      <c r="D21" s="3" t="s">
        <v>422</v>
      </c>
      <c r="E21" s="13">
        <f t="shared" si="1"/>
        <v>3</v>
      </c>
      <c r="F21" s="13">
        <f t="shared" si="2"/>
        <v>3999.9999999999991</v>
      </c>
      <c r="G21" s="13">
        <v>3</v>
      </c>
      <c r="H21" s="13">
        <v>2</v>
      </c>
      <c r="I21" s="13" t="s">
        <v>264</v>
      </c>
      <c r="K21" s="13" t="e">
        <f>IF(AND(RehabTypeValue=1,R.W.FIM_Motorv5&gt;18,WFIMHighGroupv5="C",R.W.FIM_Motorv5&gt;=70,R.W.FIM_Motorv5&lt;=91),"MATCH","###")</f>
        <v>#N/A</v>
      </c>
      <c r="L21" s="13" t="s">
        <v>530</v>
      </c>
      <c r="M21" s="13" t="s">
        <v>369</v>
      </c>
      <c r="N21" s="13" t="s">
        <v>580</v>
      </c>
    </row>
    <row r="22" spans="2:14">
      <c r="B22" s="13">
        <v>3.5</v>
      </c>
      <c r="C22" s="13" t="str">
        <f t="shared" si="0"/>
        <v>3.5 - Neurological conditions, Cerebral palsy</v>
      </c>
      <c r="D22" s="3" t="s">
        <v>16</v>
      </c>
      <c r="E22" s="13">
        <f t="shared" si="1"/>
        <v>3</v>
      </c>
      <c r="F22" s="13">
        <f t="shared" si="2"/>
        <v>5000</v>
      </c>
      <c r="G22" s="13">
        <v>3</v>
      </c>
      <c r="H22" s="13">
        <v>2</v>
      </c>
      <c r="I22" s="13" t="s">
        <v>264</v>
      </c>
      <c r="K22" s="13" t="e">
        <f>IF(AND(RehabTypeValue=1,R.W.FIM_Motorv5&gt;18,WFIMHighGroupv5="C",R.W.FIM_Motorv5&gt;=50,R.W.FIM_Motorv5&lt;=69),"MATCH","###")</f>
        <v>#N/A</v>
      </c>
      <c r="L22" s="13" t="s">
        <v>531</v>
      </c>
      <c r="M22" s="13" t="s">
        <v>369</v>
      </c>
      <c r="N22" s="13" t="s">
        <v>581</v>
      </c>
    </row>
    <row r="23" spans="2:14">
      <c r="B23" s="13">
        <v>3.8</v>
      </c>
      <c r="C23" s="13" t="str">
        <f t="shared" si="0"/>
        <v>3.8 - Neurological conditions, Neuromuscular disorders</v>
      </c>
      <c r="D23" s="3" t="s">
        <v>423</v>
      </c>
      <c r="E23" s="13">
        <f t="shared" si="1"/>
        <v>3</v>
      </c>
      <c r="F23" s="13">
        <f t="shared" si="2"/>
        <v>7999.9999999999982</v>
      </c>
      <c r="G23" s="13">
        <v>3</v>
      </c>
      <c r="H23" s="13">
        <v>2</v>
      </c>
      <c r="I23" s="13" t="s">
        <v>264</v>
      </c>
      <c r="K23" s="13" t="e">
        <f>IF(AND(RehabTypeValue=1,R.W.FIM_Motorv5&gt;18,WFIMHighGroupv5="C",R.W.FIM_Motorv5&gt;=19,R.W.FIM_Motorv5&lt;=49),"MATCH","###")</f>
        <v>#N/A</v>
      </c>
      <c r="L23" s="13" t="s">
        <v>532</v>
      </c>
      <c r="M23" s="13" t="s">
        <v>369</v>
      </c>
      <c r="N23" s="13" t="s">
        <v>582</v>
      </c>
    </row>
    <row r="24" spans="2:14">
      <c r="B24" s="13">
        <v>3.9</v>
      </c>
      <c r="C24" s="13" t="str">
        <f t="shared" si="0"/>
        <v>3.9 - Other neurological conditions</v>
      </c>
      <c r="D24" s="3" t="s">
        <v>17</v>
      </c>
      <c r="E24" s="13">
        <f t="shared" si="1"/>
        <v>3</v>
      </c>
      <c r="F24" s="13">
        <f t="shared" si="2"/>
        <v>9000</v>
      </c>
      <c r="G24" s="13">
        <v>3</v>
      </c>
      <c r="H24" s="13">
        <v>2</v>
      </c>
      <c r="I24" s="13" t="s">
        <v>264</v>
      </c>
      <c r="K24" s="13" t="e">
        <f>IF(AND(RehabTypeValue=1,R.W.FIM_Motorv5&gt;18,WFIMHighGroupv5="D",R.W.FIM_Motorv5&gt;=55,R.W.FIM_Motorv5&lt;=91),"MATCH","###")</f>
        <v>#N/A</v>
      </c>
      <c r="L24" s="13" t="s">
        <v>533</v>
      </c>
      <c r="M24" s="13" t="s">
        <v>369</v>
      </c>
      <c r="N24" s="13" t="s">
        <v>583</v>
      </c>
    </row>
    <row r="25" spans="2:14">
      <c r="B25" s="13">
        <v>4.1109999999999998</v>
      </c>
      <c r="C25" s="13" t="str">
        <f t="shared" si="0"/>
        <v>4.111 - Spinal CordDysfunction, Non‐traumatic, Paraplegia, incomplete</v>
      </c>
      <c r="D25" s="3" t="s">
        <v>424</v>
      </c>
      <c r="E25" s="13">
        <f t="shared" si="1"/>
        <v>4</v>
      </c>
      <c r="F25" s="13">
        <f t="shared" si="2"/>
        <v>1109.9999999999977</v>
      </c>
      <c r="G25" s="13">
        <v>4</v>
      </c>
      <c r="H25" s="13">
        <v>1</v>
      </c>
      <c r="I25" s="13" t="s">
        <v>265</v>
      </c>
      <c r="K25" s="13" t="e">
        <f>IF(AND(RehabTypeValue=1,R.W.FIM_Motorv5&gt;18,WFIMHighGroupv5="D",R.W.FIM_Motorv5&gt;=37,R.W.FIM_Motorv5&lt;=54),"MATCH","###")</f>
        <v>#N/A</v>
      </c>
      <c r="L25" s="13" t="s">
        <v>534</v>
      </c>
      <c r="M25" s="13" t="s">
        <v>369</v>
      </c>
      <c r="N25" s="13" t="s">
        <v>584</v>
      </c>
    </row>
    <row r="26" spans="2:14">
      <c r="B26" s="13">
        <v>4.1120000000000001</v>
      </c>
      <c r="C26" s="13" t="str">
        <f t="shared" si="0"/>
        <v>4.112 - Spinal CordDysfunction, Non‐traumatic, Paraplegia, complete</v>
      </c>
      <c r="D26" s="3" t="s">
        <v>425</v>
      </c>
      <c r="E26" s="13">
        <f t="shared" si="1"/>
        <v>4</v>
      </c>
      <c r="F26" s="13">
        <f t="shared" si="2"/>
        <v>1120.0000000000009</v>
      </c>
      <c r="G26" s="13">
        <v>4</v>
      </c>
      <c r="H26" s="13">
        <v>1</v>
      </c>
      <c r="I26" s="13" t="s">
        <v>265</v>
      </c>
      <c r="K26" s="13" t="e">
        <f>IF(AND(RehabTypeValue=1,R.W.FIM_Motorv5&gt;18,WFIMHighGroupv5="D",R.W.FIM_Motorv5&gt;=19,R.W.FIM_Motorv5&lt;=36),"MATCH","###")</f>
        <v>#N/A</v>
      </c>
      <c r="L26" s="13" t="s">
        <v>535</v>
      </c>
      <c r="M26" s="13" t="s">
        <v>369</v>
      </c>
      <c r="N26" s="13" t="s">
        <v>585</v>
      </c>
    </row>
    <row r="27" spans="2:14">
      <c r="B27" s="13">
        <v>4.1211000000000002</v>
      </c>
      <c r="C27" s="13" t="str">
        <f t="shared" si="0"/>
        <v>4.1211 - Spinal CordDysfunction, Non‐traumatic, Quadriplegia incomplete C1‐4</v>
      </c>
      <c r="D27" s="3" t="s">
        <v>426</v>
      </c>
      <c r="E27" s="13">
        <f t="shared" si="1"/>
        <v>4</v>
      </c>
      <c r="F27" s="13">
        <f t="shared" si="2"/>
        <v>1211.000000000002</v>
      </c>
      <c r="G27" s="13">
        <v>4</v>
      </c>
      <c r="H27" s="13">
        <v>1</v>
      </c>
      <c r="I27" s="13" t="s">
        <v>265</v>
      </c>
      <c r="K27" s="13" t="e">
        <f>IF(AND(RehabTypeValue=1,R.W.FIM_Motorv5&gt;18,WFIMHighGroupv5="E"),"MATCH","###")</f>
        <v>#N/A</v>
      </c>
      <c r="L27" s="13" t="s">
        <v>536</v>
      </c>
      <c r="M27" s="13" t="s">
        <v>369</v>
      </c>
      <c r="N27" s="13" t="s">
        <v>612</v>
      </c>
    </row>
    <row r="28" spans="2:14">
      <c r="B28" s="13">
        <v>4.1212</v>
      </c>
      <c r="C28" s="13" t="str">
        <f t="shared" si="0"/>
        <v>4.1212 - Spinal CordDysfunction, Non‐traumatic, Quadriplegia incomplete C5‐8</v>
      </c>
      <c r="D28" s="3" t="s">
        <v>427</v>
      </c>
      <c r="E28" s="13">
        <f t="shared" si="1"/>
        <v>4</v>
      </c>
      <c r="F28" s="13">
        <f t="shared" si="2"/>
        <v>1211.9999999999998</v>
      </c>
      <c r="G28" s="13">
        <v>4</v>
      </c>
      <c r="H28" s="13">
        <v>1</v>
      </c>
      <c r="I28" s="13" t="s">
        <v>265</v>
      </c>
      <c r="K28" s="13" t="e">
        <f>IF(AND(RehabTypeValue=1,R.W.FIM_Motorv5&gt;18,WFIMHighGroupv5="H",R.W.FIM_Motorv5&gt;=48,R.W.FIM_Motorv5&lt;=91,FIM_Cognition&gt;=33,FIM_Cognition&lt;=35),"MATCH","###")</f>
        <v>#N/A</v>
      </c>
      <c r="L28" s="13" t="s">
        <v>537</v>
      </c>
      <c r="M28" s="13" t="s">
        <v>369</v>
      </c>
      <c r="N28" s="13" t="s">
        <v>586</v>
      </c>
    </row>
    <row r="29" spans="2:14">
      <c r="B29" s="13">
        <v>4.1220999999999997</v>
      </c>
      <c r="C29" s="13" t="str">
        <f t="shared" si="0"/>
        <v>4.1221 - Spinal CordDysfunction, Non‐traumatic, Quadriplegia complete C1‐4</v>
      </c>
      <c r="D29" s="3" t="s">
        <v>428</v>
      </c>
      <c r="E29" s="13">
        <f t="shared" si="1"/>
        <v>4</v>
      </c>
      <c r="F29" s="13">
        <f t="shared" si="2"/>
        <v>1220.9999999999966</v>
      </c>
      <c r="G29" s="13">
        <v>4</v>
      </c>
      <c r="H29" s="13">
        <v>1</v>
      </c>
      <c r="I29" s="13" t="s">
        <v>265</v>
      </c>
      <c r="K29" s="13" t="e">
        <f>IF(AND(RehabTypeValue=1,R.W.FIM_Motorv5&gt;18,WFIMHighGroupv5="H",R.W.FIM_Motorv5&gt;=48,R.W.FIM_Motorv5&lt;=91,FIM_Cognition&gt;=21,FIM_Cognition&lt;=32),"MATCH","###")</f>
        <v>#N/A</v>
      </c>
      <c r="L29" s="13" t="s">
        <v>538</v>
      </c>
      <c r="M29" s="13" t="s">
        <v>369</v>
      </c>
      <c r="N29" s="13" t="s">
        <v>587</v>
      </c>
    </row>
    <row r="30" spans="2:14">
      <c r="B30" s="13">
        <v>4.1222000000000003</v>
      </c>
      <c r="C30" s="13" t="str">
        <f t="shared" si="0"/>
        <v>4.1222 - Spinal CordDysfunction, Non‐traumatic, Quadriplegia complete C5‐8</v>
      </c>
      <c r="D30" s="3" t="s">
        <v>429</v>
      </c>
      <c r="E30" s="13">
        <f t="shared" si="1"/>
        <v>4</v>
      </c>
      <c r="F30" s="13">
        <f t="shared" si="2"/>
        <v>1222.0000000000032</v>
      </c>
      <c r="G30" s="13">
        <v>4</v>
      </c>
      <c r="H30" s="13">
        <v>1</v>
      </c>
      <c r="I30" s="13" t="s">
        <v>265</v>
      </c>
      <c r="K30" s="14" t="e">
        <f>IF(AND(RehabTypeValue=1,R.W.FIM_Motorv5&gt;18,WFIMHighGroupv5="H",R.W.FIM_Motorv5&gt;=48,R.W.FIM_Motorv5&lt;=91,FIM_Cognition&gt;=5,FIM_Cognition&lt;=20),"MATCH","###")</f>
        <v>#N/A</v>
      </c>
      <c r="L30" s="13" t="s">
        <v>539</v>
      </c>
      <c r="M30" s="13" t="s">
        <v>369</v>
      </c>
      <c r="N30" s="13" t="s">
        <v>588</v>
      </c>
    </row>
    <row r="31" spans="2:14">
      <c r="B31" s="13">
        <v>4.13</v>
      </c>
      <c r="C31" s="13" t="str">
        <f t="shared" si="0"/>
        <v>4.13 - Other non‐traumatic spinal cord dysfunction</v>
      </c>
      <c r="D31" s="3" t="s">
        <v>18</v>
      </c>
      <c r="E31" s="13">
        <f t="shared" si="1"/>
        <v>4</v>
      </c>
      <c r="F31" s="13">
        <f t="shared" si="2"/>
        <v>1299.9999999999989</v>
      </c>
      <c r="G31" s="13">
        <v>4</v>
      </c>
      <c r="H31" s="13">
        <v>1</v>
      </c>
      <c r="I31" s="13" t="s">
        <v>265</v>
      </c>
      <c r="K31" s="13" t="e">
        <f>IF(AND(RehabTypeValue=1,R.W.FIM_Motorv5&gt;18,WFIMHighGroupv5="H",R.W.FIM_Motorv5&gt;=19,R.W.FIM_Motorv5&lt;=47),"MATCH","###")</f>
        <v>#N/A</v>
      </c>
      <c r="L31" s="13" t="s">
        <v>540</v>
      </c>
      <c r="M31" s="13" t="s">
        <v>369</v>
      </c>
      <c r="N31" s="13" t="s">
        <v>589</v>
      </c>
    </row>
    <row r="32" spans="2:14">
      <c r="B32" s="13">
        <v>4.2110000000000003</v>
      </c>
      <c r="C32" s="13" t="str">
        <f t="shared" si="0"/>
        <v>4.211 - Spinal CordDysfunction, Traumatic, Paraplegia, incomplete</v>
      </c>
      <c r="D32" s="3" t="s">
        <v>19</v>
      </c>
      <c r="E32" s="13">
        <f t="shared" si="1"/>
        <v>4</v>
      </c>
      <c r="F32" s="13">
        <f t="shared" si="2"/>
        <v>2110.0000000000032</v>
      </c>
      <c r="G32" s="13">
        <v>4</v>
      </c>
      <c r="H32" s="13">
        <v>1</v>
      </c>
      <c r="I32" s="13" t="s">
        <v>265</v>
      </c>
      <c r="K32" s="13" t="e">
        <f>IF(AND(RehabTypeValue=1,R.W.FIM_Motorv5&gt;18,WFIMHighGroupv5=4,R.W.FIM_Motorv5&gt;=61,R.W.FIM_Motorv5&lt;=91),"MATCH","###")</f>
        <v>#N/A</v>
      </c>
      <c r="L32" s="13" t="s">
        <v>541</v>
      </c>
      <c r="M32" s="13" t="s">
        <v>369</v>
      </c>
      <c r="N32" s="13" t="s">
        <v>590</v>
      </c>
    </row>
    <row r="33" spans="2:14">
      <c r="B33" s="13">
        <v>4.2119999999999997</v>
      </c>
      <c r="C33" s="13" t="str">
        <f t="shared" si="0"/>
        <v>4.212 - Spinal CordDysfunction, Traumatic, Paraplegia, complete</v>
      </c>
      <c r="D33" s="3" t="s">
        <v>20</v>
      </c>
      <c r="E33" s="13">
        <f t="shared" si="1"/>
        <v>4</v>
      </c>
      <c r="F33" s="13">
        <f t="shared" si="2"/>
        <v>2119.9999999999973</v>
      </c>
      <c r="G33" s="13">
        <v>4</v>
      </c>
      <c r="H33" s="13">
        <v>1</v>
      </c>
      <c r="I33" s="13" t="s">
        <v>265</v>
      </c>
      <c r="K33" s="13" t="e">
        <f>IF(AND(RehabTypeValue=1,R.W.FIM_Motorv5&gt;18,WFIMHighGroupv5=4,R.W.FIM_Motorv5&gt;=45,R.W.FIM_Motorv5&lt;=60),"MATCH","###")</f>
        <v>#N/A</v>
      </c>
      <c r="L33" s="13" t="s">
        <v>542</v>
      </c>
      <c r="M33" s="13" t="s">
        <v>369</v>
      </c>
      <c r="N33" s="13" t="s">
        <v>591</v>
      </c>
    </row>
    <row r="34" spans="2:14">
      <c r="B34" s="13">
        <v>4.2210999999999999</v>
      </c>
      <c r="C34" s="13" t="str">
        <f t="shared" si="0"/>
        <v>4.2211 - Spinal CordDysfunction, Traumatic, Quadriplegia incomplete C1‐4</v>
      </c>
      <c r="D34" s="3" t="s">
        <v>430</v>
      </c>
      <c r="E34" s="13">
        <f t="shared" si="1"/>
        <v>4</v>
      </c>
      <c r="F34" s="13">
        <f t="shared" si="2"/>
        <v>2210.9999999999986</v>
      </c>
      <c r="G34" s="13">
        <v>4</v>
      </c>
      <c r="H34" s="13">
        <v>1</v>
      </c>
      <c r="I34" s="13" t="s">
        <v>265</v>
      </c>
      <c r="K34" s="13" t="e">
        <f>IF(AND(RehabTypeValue=1,R.W.FIM_Motorv5&gt;18,WFIMHighGroupv5=4,R.W.FIM_Motorv5&gt;=19,R.W.FIM_Motorv5&lt;=44),"MATCH","###")</f>
        <v>#N/A</v>
      </c>
      <c r="L34" s="13" t="s">
        <v>543</v>
      </c>
      <c r="M34" s="13" t="s">
        <v>369</v>
      </c>
      <c r="N34" s="13" t="s">
        <v>592</v>
      </c>
    </row>
    <row r="35" spans="2:14">
      <c r="B35" s="13">
        <v>4.2211999999999996</v>
      </c>
      <c r="C35" s="13" t="str">
        <f t="shared" si="0"/>
        <v>4.2212 - Spinal CordDysfunction, Traumatic, Quadriplegia incomplete C5‐8</v>
      </c>
      <c r="D35" s="3" t="s">
        <v>431</v>
      </c>
      <c r="E35" s="13">
        <f t="shared" si="1"/>
        <v>4</v>
      </c>
      <c r="F35" s="13">
        <f t="shared" si="2"/>
        <v>2211.9999999999964</v>
      </c>
      <c r="G35" s="13">
        <v>4</v>
      </c>
      <c r="H35" s="13">
        <v>1</v>
      </c>
      <c r="I35" s="13" t="s">
        <v>265</v>
      </c>
      <c r="K35" s="13" t="e">
        <f>IF(AND(RehabTypeValue=1,R.W.FIM_Motorv5&gt;18,WFIMHighGroupv5=2,R.W.FIM_Motorv5&gt;=57,R.W.FIM_Motorv5&lt;=91),"MATCH","###")</f>
        <v>#N/A</v>
      </c>
      <c r="L35" s="13" t="s">
        <v>544</v>
      </c>
      <c r="M35" s="13" t="s">
        <v>369</v>
      </c>
      <c r="N35" s="13" t="s">
        <v>593</v>
      </c>
    </row>
    <row r="36" spans="2:14">
      <c r="B36" s="13">
        <v>4.2221000000000002</v>
      </c>
      <c r="C36" s="13" t="str">
        <f t="shared" si="0"/>
        <v>4.2221 - Spinal CordDysfunction, Traumatic, Quadriplegia complete C1‐4</v>
      </c>
      <c r="D36" s="3" t="s">
        <v>432</v>
      </c>
      <c r="E36" s="13">
        <f t="shared" si="1"/>
        <v>4</v>
      </c>
      <c r="F36" s="13">
        <f t="shared" si="2"/>
        <v>2221.0000000000018</v>
      </c>
      <c r="G36" s="13">
        <v>4</v>
      </c>
      <c r="H36" s="13">
        <v>1</v>
      </c>
      <c r="I36" s="13" t="s">
        <v>265</v>
      </c>
      <c r="K36" s="13" t="e">
        <f>IF(AND(RehabTypeValue=1,R.W.FIM_Motorv5&gt;18,WFIMHighGroupv5=2,R.W.FIM_Motorv5&gt;=41,R.W.FIM_Motorv5&lt;=56),"MATCH","###")</f>
        <v>#N/A</v>
      </c>
      <c r="L36" s="13" t="s">
        <v>545</v>
      </c>
      <c r="M36" s="13" t="s">
        <v>369</v>
      </c>
      <c r="N36" s="13" t="s">
        <v>594</v>
      </c>
    </row>
    <row r="37" spans="2:14">
      <c r="B37" s="13">
        <v>4.2222</v>
      </c>
      <c r="C37" s="13" t="str">
        <f t="shared" si="0"/>
        <v>4.2222 - Spinal CordDysfunction, Traumatic, Quadriplegia complete C5‐8</v>
      </c>
      <c r="D37" s="3" t="s">
        <v>433</v>
      </c>
      <c r="E37" s="13">
        <f t="shared" si="1"/>
        <v>4</v>
      </c>
      <c r="F37" s="13">
        <f t="shared" si="2"/>
        <v>2221.9999999999995</v>
      </c>
      <c r="G37" s="13">
        <v>4</v>
      </c>
      <c r="H37" s="13">
        <v>1</v>
      </c>
      <c r="I37" s="13" t="s">
        <v>265</v>
      </c>
      <c r="K37" s="13" t="e">
        <f>IF(AND(RehabTypeValue=1,R.W.FIM_Motorv5&gt;18,WFIMHighGroupv5=2,R.W.FIM_Motorv5&gt;=19,R.W.FIM_Motorv5&lt;=40),"MATCH","###")</f>
        <v>#N/A</v>
      </c>
      <c r="L37" s="13" t="s">
        <v>546</v>
      </c>
      <c r="M37" s="13" t="s">
        <v>369</v>
      </c>
      <c r="N37" s="13" t="s">
        <v>595</v>
      </c>
    </row>
    <row r="38" spans="2:14">
      <c r="B38" s="13">
        <v>4.2300000000000004</v>
      </c>
      <c r="C38" s="13" t="str">
        <f t="shared" si="0"/>
        <v>4.23 - Other traumatic spinal cord dysfunction</v>
      </c>
      <c r="D38" s="3" t="s">
        <v>480</v>
      </c>
      <c r="E38" s="13">
        <f t="shared" si="1"/>
        <v>4</v>
      </c>
      <c r="F38" s="13">
        <f t="shared" si="2"/>
        <v>2300.0000000000041</v>
      </c>
      <c r="G38" s="13">
        <v>4</v>
      </c>
      <c r="H38" s="13">
        <v>1</v>
      </c>
      <c r="I38" s="13" t="s">
        <v>265</v>
      </c>
      <c r="K38" s="13" t="e">
        <f>IF(AND(RehabTypeValue=1,R.W.FIM_Motorv5&gt;18,WFIMHighGroupv5=3,R.W.FIM_Motorv5&gt;=66,R.W.FIM_Motorv5&lt;=91),"MATCH","###")</f>
        <v>#N/A</v>
      </c>
      <c r="L38" s="13" t="s">
        <v>547</v>
      </c>
      <c r="M38" s="13" t="s">
        <v>369</v>
      </c>
      <c r="N38" s="13" t="s">
        <v>596</v>
      </c>
    </row>
    <row r="39" spans="2:14">
      <c r="B39" s="13">
        <v>5.1100000000000003</v>
      </c>
      <c r="C39" s="13" t="str">
        <f t="shared" si="0"/>
        <v>5.11 - Amputation of Limb, Non traumatic, Single upper amputation above the elbow</v>
      </c>
      <c r="D39" s="3" t="s">
        <v>434</v>
      </c>
      <c r="E39" s="13">
        <f t="shared" si="1"/>
        <v>5</v>
      </c>
      <c r="F39" s="13">
        <f t="shared" si="2"/>
        <v>1100.0000000000032</v>
      </c>
      <c r="G39" s="13">
        <v>5</v>
      </c>
      <c r="H39" s="13">
        <v>2</v>
      </c>
      <c r="I39" s="13" t="s">
        <v>266</v>
      </c>
      <c r="K39" s="13" t="e">
        <f>IF(AND(RehabTypeValue=1,R.W.FIM_Motorv5&gt;18,WFIMHighGroupv5=3,R.W.FIM_Motorv5&gt;=38,R.W.FIM_Motorv5&lt;=65),"MATCH","###")</f>
        <v>#N/A</v>
      </c>
      <c r="L39" s="13" t="s">
        <v>548</v>
      </c>
      <c r="M39" s="13" t="s">
        <v>369</v>
      </c>
      <c r="N39" s="13" t="s">
        <v>597</v>
      </c>
    </row>
    <row r="40" spans="2:14">
      <c r="B40" s="13">
        <v>5.12</v>
      </c>
      <c r="C40" s="13" t="str">
        <f t="shared" si="0"/>
        <v>5.12 - Amputation of Limb, Non traumatic, Single upper amputation below the elbow</v>
      </c>
      <c r="D40" s="3" t="s">
        <v>435</v>
      </c>
      <c r="E40" s="13">
        <f t="shared" si="1"/>
        <v>5</v>
      </c>
      <c r="F40" s="13">
        <f t="shared" si="2"/>
        <v>1200.0000000000011</v>
      </c>
      <c r="G40" s="13">
        <v>5</v>
      </c>
      <c r="H40" s="13">
        <v>2</v>
      </c>
      <c r="I40" s="13" t="s">
        <v>266</v>
      </c>
      <c r="K40" s="13" t="e">
        <f>IF(AND(RehabTypeValue=1,R.W.FIM_Motorv5&gt;18,WFIMHighGroupv5=3,R.W.FIM_Motorv5&gt;=19,R.W.FIM_Motorv5&lt;=37),"MATCH","###")</f>
        <v>#N/A</v>
      </c>
      <c r="L40" s="13" t="s">
        <v>549</v>
      </c>
      <c r="M40" s="13" t="s">
        <v>369</v>
      </c>
      <c r="N40" s="13" t="s">
        <v>598</v>
      </c>
    </row>
    <row r="41" spans="2:14">
      <c r="B41" s="13">
        <v>5.13</v>
      </c>
      <c r="C41" s="13" t="str">
        <f t="shared" si="0"/>
        <v>5.13 - Amputation of Limb, Non traumatic, Single lower amputation above the knee</v>
      </c>
      <c r="D41" s="3" t="s">
        <v>436</v>
      </c>
      <c r="E41" s="13">
        <f t="shared" si="1"/>
        <v>5</v>
      </c>
      <c r="F41" s="13">
        <f t="shared" si="2"/>
        <v>1299.9999999999989</v>
      </c>
      <c r="G41" s="13">
        <v>5</v>
      </c>
      <c r="H41" s="13">
        <v>2</v>
      </c>
      <c r="I41" s="13" t="s">
        <v>266</v>
      </c>
      <c r="K41" s="13" t="e">
        <f>IF(AND(RehabTypeValue=1,R.W.FIM_Motorv5&gt;18,WFIMHighGroupv5="P",R.W.FIM_Motorv5&gt;=51,R.W.FIM_Motorv5&lt;=91),"MATCH","###")</f>
        <v>#N/A</v>
      </c>
      <c r="L41" s="13" t="s">
        <v>550</v>
      </c>
      <c r="M41" s="13" t="s">
        <v>369</v>
      </c>
      <c r="N41" s="13" t="s">
        <v>599</v>
      </c>
    </row>
    <row r="42" spans="2:14">
      <c r="B42" s="13">
        <v>5.14</v>
      </c>
      <c r="C42" s="13" t="str">
        <f t="shared" si="0"/>
        <v>5.14 - Amputation of Limb, Non traumatic, Single lower amputation below the knee</v>
      </c>
      <c r="D42" s="3" t="s">
        <v>437</v>
      </c>
      <c r="E42" s="13">
        <f t="shared" si="1"/>
        <v>5</v>
      </c>
      <c r="F42" s="13">
        <f t="shared" si="2"/>
        <v>1399.9999999999968</v>
      </c>
      <c r="G42" s="13">
        <v>5</v>
      </c>
      <c r="H42" s="13">
        <v>2</v>
      </c>
      <c r="I42" s="13" t="s">
        <v>266</v>
      </c>
      <c r="K42" s="13" t="e">
        <f>IF(AND(RehabTypeValue=1,R.W.FIM_Motorv5&gt;18,WFIMHighGroupv5="P",R.W.FIM_Motorv5&gt;=19,R.W.FIM_Motorv5&lt;=50),"MATCH","###")</f>
        <v>#N/A</v>
      </c>
      <c r="L42" s="13" t="s">
        <v>551</v>
      </c>
      <c r="M42" s="13" t="s">
        <v>369</v>
      </c>
      <c r="N42" s="13" t="s">
        <v>600</v>
      </c>
    </row>
    <row r="43" spans="2:14">
      <c r="B43" s="13">
        <v>5.15</v>
      </c>
      <c r="C43" s="13" t="str">
        <f t="shared" si="0"/>
        <v>5.15 - Amputation of Limb, Non traumatic, Double lower amputation above the knee</v>
      </c>
      <c r="D43" s="3" t="s">
        <v>438</v>
      </c>
      <c r="E43" s="13">
        <f t="shared" si="1"/>
        <v>5</v>
      </c>
      <c r="F43" s="13">
        <f t="shared" si="2"/>
        <v>1500.0000000000036</v>
      </c>
      <c r="G43" s="13">
        <v>5</v>
      </c>
      <c r="H43" s="13">
        <v>2</v>
      </c>
      <c r="I43" s="13" t="s">
        <v>266</v>
      </c>
      <c r="K43" s="13" t="e">
        <f>IF(AND(RehabTypeValue=1,R.W.FIM_Motorv5&gt;18,WFIMHighGroupv5="R",R.W.FIM_Motorv5&gt;=64,R.W.FIM_Motorv5&lt;=91,FIM_Cognition&gt;=29,FIM_Cognition&lt;=35),"MATCH","###")</f>
        <v>#N/A</v>
      </c>
      <c r="L43" s="13" t="s">
        <v>552</v>
      </c>
      <c r="M43" s="13" t="s">
        <v>369</v>
      </c>
      <c r="N43" s="13" t="s">
        <v>601</v>
      </c>
    </row>
    <row r="44" spans="2:14">
      <c r="B44" s="13">
        <v>5.16</v>
      </c>
      <c r="C44" s="13" t="str">
        <f t="shared" si="0"/>
        <v>5.16 - Amputation of Limb, Non traumatic, Double lower amputation above/below the knee</v>
      </c>
      <c r="D44" s="3" t="s">
        <v>439</v>
      </c>
      <c r="E44" s="13">
        <f t="shared" si="1"/>
        <v>5</v>
      </c>
      <c r="F44" s="13">
        <f t="shared" si="2"/>
        <v>1600.0000000000014</v>
      </c>
      <c r="G44" s="13">
        <v>5</v>
      </c>
      <c r="H44" s="13">
        <v>2</v>
      </c>
      <c r="I44" s="13" t="s">
        <v>266</v>
      </c>
      <c r="K44" s="13" t="e">
        <f>IF(AND(RehabTypeValue=1,R.W.FIM_Motorv5&gt;18,WFIMHighGroupv5="R",R.W.FIM_Motorv5&gt;=64,R.W.FIM_Motorv5&lt;=91,FIM_Cognition&gt;=5,FIM_Cognition&lt;=28),"MATCH","###")</f>
        <v>#N/A</v>
      </c>
      <c r="L44" s="13" t="s">
        <v>553</v>
      </c>
      <c r="M44" s="13" t="s">
        <v>369</v>
      </c>
      <c r="N44" s="13" t="s">
        <v>602</v>
      </c>
    </row>
    <row r="45" spans="2:14">
      <c r="B45" s="13">
        <v>5.17</v>
      </c>
      <c r="C45" s="13" t="str">
        <f t="shared" si="0"/>
        <v>5.17 - Amputation of Limb, Non traumatic, Double lower amputation below the knee</v>
      </c>
      <c r="D45" s="3" t="s">
        <v>405</v>
      </c>
      <c r="E45" s="13">
        <f t="shared" si="1"/>
        <v>5</v>
      </c>
      <c r="F45" s="13">
        <f t="shared" si="2"/>
        <v>1699.9999999999993</v>
      </c>
      <c r="G45" s="13">
        <v>5</v>
      </c>
      <c r="H45" s="13">
        <v>2</v>
      </c>
      <c r="I45" s="13" t="s">
        <v>266</v>
      </c>
      <c r="K45" s="13" t="e">
        <f>IF(AND(RehabTypeValue=1,R.W.FIM_Motorv5&gt;18,WFIMHighGroupv5="R",R.W.FIM_Motorv5&gt;=48,R.W.FIM_Motorv5&lt;=63,FIM_Cognition&gt;=19,FIM_Cognition&lt;=35),"MATCH","###")</f>
        <v>#N/A</v>
      </c>
      <c r="L45" s="13" t="s">
        <v>554</v>
      </c>
      <c r="M45" s="13" t="s">
        <v>369</v>
      </c>
      <c r="N45" s="13" t="s">
        <v>603</v>
      </c>
    </row>
    <row r="46" spans="2:14">
      <c r="B46" s="13">
        <v>5.18</v>
      </c>
      <c r="C46" s="13" t="str">
        <f t="shared" si="0"/>
        <v>5.18 - Amputation of Limb, Non traumatic, Partial foot amputation (includes single/double)</v>
      </c>
      <c r="D46" s="3" t="s">
        <v>445</v>
      </c>
      <c r="E46" s="13">
        <f t="shared" si="1"/>
        <v>5</v>
      </c>
      <c r="F46" s="13">
        <f t="shared" si="2"/>
        <v>1799.9999999999973</v>
      </c>
      <c r="G46" s="13">
        <v>5</v>
      </c>
      <c r="H46" s="13">
        <v>2</v>
      </c>
      <c r="I46" s="13" t="s">
        <v>266</v>
      </c>
      <c r="K46" s="13" t="e">
        <f>IF(AND(RehabTypeValue=1,R.W.FIM_Motorv5&gt;18,WFIMHighGroupv5="R",R.W.FIM_Motorv5&gt;=48,R.W.FIM_Motorv5&lt;=63,FIM_Cognition&gt;=5,FIM_Cognition&lt;=18),"MATCH","###")</f>
        <v>#N/A</v>
      </c>
      <c r="L46" s="13" t="s">
        <v>555</v>
      </c>
      <c r="M46" s="13" t="s">
        <v>369</v>
      </c>
      <c r="N46" s="13" t="s">
        <v>604</v>
      </c>
    </row>
    <row r="47" spans="2:14">
      <c r="B47" s="13">
        <v>5.19</v>
      </c>
      <c r="C47" s="13" t="str">
        <f t="shared" si="0"/>
        <v>5.19 - Other non‐traumatic amputation</v>
      </c>
      <c r="D47" s="3" t="s">
        <v>22</v>
      </c>
      <c r="E47" s="13">
        <f t="shared" si="1"/>
        <v>5</v>
      </c>
      <c r="F47" s="13">
        <f t="shared" si="2"/>
        <v>1900.0000000000039</v>
      </c>
      <c r="G47" s="13">
        <v>5</v>
      </c>
      <c r="H47" s="13">
        <v>2</v>
      </c>
      <c r="I47" s="13" t="s">
        <v>266</v>
      </c>
      <c r="K47" s="13" t="e">
        <f>IF(AND(RehabTypeValue=1,R.W.FIM_Motorv5&gt;18,WFIMHighGroupv5="R",R.W.FIM_Motorv5&gt;=19,R.W.FIM_Motorv5&lt;=47),"MATCH","###")</f>
        <v>#N/A</v>
      </c>
      <c r="L47" s="13" t="s">
        <v>556</v>
      </c>
      <c r="M47" s="13" t="s">
        <v>369</v>
      </c>
      <c r="N47" s="13" t="s">
        <v>605</v>
      </c>
    </row>
    <row r="48" spans="2:14">
      <c r="B48" s="13">
        <v>5.21</v>
      </c>
      <c r="C48" s="13" t="str">
        <f t="shared" si="0"/>
        <v>5.21 - Amputation of Limb, Traumatic, Single upper amputation above the elbow</v>
      </c>
      <c r="D48" s="3" t="s">
        <v>23</v>
      </c>
      <c r="E48" s="13">
        <f t="shared" si="1"/>
        <v>5</v>
      </c>
      <c r="F48" s="13">
        <f t="shared" si="2"/>
        <v>2099.9999999999995</v>
      </c>
      <c r="G48" s="13">
        <v>5</v>
      </c>
      <c r="H48" s="13">
        <v>2</v>
      </c>
      <c r="I48" s="13" t="s">
        <v>266</v>
      </c>
      <c r="K48" s="13" t="e">
        <f>IF(AND(RehabTypeValue=1,R.W.FIM_Motorv5&gt;18,WFIMHighGroupv5=9,R.W.FIM_Motorv5&gt;=61,R.W.FIM_Motorv5&lt;=91),"MATCH","###")</f>
        <v>#N/A</v>
      </c>
      <c r="L48" s="13" t="s">
        <v>557</v>
      </c>
      <c r="M48" s="13" t="s">
        <v>369</v>
      </c>
      <c r="N48" s="13" t="s">
        <v>606</v>
      </c>
    </row>
    <row r="49" spans="2:14">
      <c r="B49" s="13">
        <v>5.22</v>
      </c>
      <c r="C49" s="13" t="str">
        <f t="shared" si="0"/>
        <v>5.22 - Amputation of Limb, Traumatic, Single upper amputation below the elbow</v>
      </c>
      <c r="D49" s="3" t="s">
        <v>24</v>
      </c>
      <c r="E49" s="13">
        <f t="shared" si="1"/>
        <v>5</v>
      </c>
      <c r="F49" s="13">
        <f t="shared" si="2"/>
        <v>2199.9999999999977</v>
      </c>
      <c r="G49" s="13">
        <v>5</v>
      </c>
      <c r="H49" s="13">
        <v>2</v>
      </c>
      <c r="I49" s="13" t="s">
        <v>266</v>
      </c>
      <c r="K49" s="13" t="e">
        <f>IF(AND(RehabTypeValue=1,R.W.FIM_Motorv5&gt;18,WFIMHighGroupv5=9,R.W.FIM_Motorv5&gt;=42,R.W.FIM_Motorv5&lt;=60),"MATCH","###")</f>
        <v>#N/A</v>
      </c>
      <c r="L49" s="13" t="s">
        <v>558</v>
      </c>
      <c r="M49" s="13" t="s">
        <v>369</v>
      </c>
      <c r="N49" s="13" t="s">
        <v>607</v>
      </c>
    </row>
    <row r="50" spans="2:14">
      <c r="B50" s="13">
        <v>5.23</v>
      </c>
      <c r="C50" s="13" t="str">
        <f t="shared" si="0"/>
        <v>5.23 - Amputation of Limb, Traumatic, Single lower amputation above the knee</v>
      </c>
      <c r="D50" s="3" t="s">
        <v>25</v>
      </c>
      <c r="E50" s="13">
        <f t="shared" si="1"/>
        <v>5</v>
      </c>
      <c r="F50" s="13">
        <f t="shared" si="2"/>
        <v>2300.0000000000041</v>
      </c>
      <c r="G50" s="13">
        <v>5</v>
      </c>
      <c r="H50" s="13">
        <v>2</v>
      </c>
      <c r="I50" s="13" t="s">
        <v>266</v>
      </c>
      <c r="K50" s="13" t="e">
        <f>IF(AND(RehabTypeValue=1,R.W.FIM_Motorv5&gt;18,WFIMHighGroupv5=9,R.W.FIM_Motorv5&gt;=19,R.W.FIM_Motorv5&lt;=41),"MATCH","###")</f>
        <v>#N/A</v>
      </c>
      <c r="L50" s="13" t="s">
        <v>559</v>
      </c>
      <c r="M50" s="13" t="s">
        <v>369</v>
      </c>
      <c r="N50" s="13" t="s">
        <v>608</v>
      </c>
    </row>
    <row r="51" spans="2:14">
      <c r="B51" s="13">
        <v>5.24</v>
      </c>
      <c r="C51" s="13" t="str">
        <f t="shared" si="0"/>
        <v>5.24 - Amputation of Limb, Traumatic, Single lower amputation below the knee</v>
      </c>
      <c r="D51" s="3" t="s">
        <v>26</v>
      </c>
      <c r="E51" s="13">
        <f t="shared" si="1"/>
        <v>5</v>
      </c>
      <c r="F51" s="13">
        <f t="shared" si="2"/>
        <v>2400.0000000000023</v>
      </c>
      <c r="G51" s="13">
        <v>5</v>
      </c>
      <c r="H51" s="13">
        <v>2</v>
      </c>
      <c r="I51" s="13" t="s">
        <v>266</v>
      </c>
      <c r="L51" s="13" t="s">
        <v>560</v>
      </c>
      <c r="M51" s="13" t="s">
        <v>369</v>
      </c>
      <c r="N51" s="13" t="s">
        <v>609</v>
      </c>
    </row>
    <row r="52" spans="2:14">
      <c r="B52" s="13">
        <v>5.25</v>
      </c>
      <c r="C52" s="13" t="str">
        <f t="shared" si="0"/>
        <v>5.25 - Amputation of Limb, Traumatic, Double lower amputation above the knee</v>
      </c>
      <c r="D52" s="3" t="s">
        <v>440</v>
      </c>
      <c r="E52" s="13">
        <f t="shared" si="1"/>
        <v>5</v>
      </c>
      <c r="F52" s="13">
        <f t="shared" si="2"/>
        <v>2500</v>
      </c>
      <c r="G52" s="13">
        <v>5</v>
      </c>
      <c r="H52" s="13">
        <v>2</v>
      </c>
      <c r="I52" s="13" t="s">
        <v>266</v>
      </c>
      <c r="L52" s="13" t="s">
        <v>561</v>
      </c>
      <c r="M52" s="13" t="s">
        <v>369</v>
      </c>
      <c r="N52" s="13" t="s">
        <v>610</v>
      </c>
    </row>
    <row r="53" spans="2:14">
      <c r="B53" s="13">
        <v>5.26</v>
      </c>
      <c r="C53" s="13" t="str">
        <f t="shared" si="0"/>
        <v>5.26 - Amputation of Limb, Traumatic, Double lower amputation above/below the knee</v>
      </c>
      <c r="D53" s="3" t="s">
        <v>441</v>
      </c>
      <c r="E53" s="13">
        <f t="shared" si="1"/>
        <v>5</v>
      </c>
      <c r="F53" s="13">
        <f t="shared" si="2"/>
        <v>2599.9999999999977</v>
      </c>
      <c r="G53" s="13">
        <v>5</v>
      </c>
      <c r="H53" s="13">
        <v>2</v>
      </c>
      <c r="I53" s="13" t="s">
        <v>266</v>
      </c>
    </row>
    <row r="54" spans="2:14">
      <c r="B54" s="13">
        <v>5.27</v>
      </c>
      <c r="C54" s="13" t="str">
        <f t="shared" si="0"/>
        <v>5.27 - Amputation of Limb, Traumatic, Double lower amputation below the knee</v>
      </c>
      <c r="D54" s="3" t="s">
        <v>442</v>
      </c>
      <c r="E54" s="13">
        <f t="shared" si="1"/>
        <v>5</v>
      </c>
      <c r="F54" s="13">
        <f t="shared" si="2"/>
        <v>2699.9999999999959</v>
      </c>
      <c r="G54" s="13">
        <v>5</v>
      </c>
      <c r="H54" s="13">
        <v>2</v>
      </c>
      <c r="I54" s="13" t="s">
        <v>266</v>
      </c>
    </row>
    <row r="55" spans="2:14">
      <c r="B55" s="13">
        <v>5.28</v>
      </c>
      <c r="C55" s="13" t="str">
        <f t="shared" si="0"/>
        <v>5.28 - Amputation of Limb, Traumatic, Partial foot amputation (includes single/double)</v>
      </c>
      <c r="D55" s="3" t="s">
        <v>444</v>
      </c>
      <c r="E55" s="13">
        <f t="shared" si="1"/>
        <v>5</v>
      </c>
      <c r="F55" s="13">
        <f t="shared" si="2"/>
        <v>2800.0000000000023</v>
      </c>
      <c r="G55" s="13">
        <v>5</v>
      </c>
      <c r="H55" s="13">
        <v>2</v>
      </c>
      <c r="I55" s="13" t="s">
        <v>266</v>
      </c>
    </row>
    <row r="56" spans="2:14">
      <c r="B56" s="13">
        <v>5.29</v>
      </c>
      <c r="C56" s="13" t="str">
        <f t="shared" si="0"/>
        <v>5.29 - Othertraumatic amputation</v>
      </c>
      <c r="D56" s="3" t="s">
        <v>27</v>
      </c>
      <c r="E56" s="13">
        <f t="shared" si="1"/>
        <v>5</v>
      </c>
      <c r="F56" s="13">
        <f t="shared" si="2"/>
        <v>2900.0000000000005</v>
      </c>
      <c r="G56" s="13">
        <v>5</v>
      </c>
      <c r="H56" s="13">
        <v>2</v>
      </c>
      <c r="I56" s="13" t="s">
        <v>266</v>
      </c>
    </row>
    <row r="57" spans="2:14">
      <c r="B57" s="13">
        <v>6.1</v>
      </c>
      <c r="C57" s="13" t="str">
        <f t="shared" si="0"/>
        <v>6.1 - Arthritis, Rheumatoid arthritis</v>
      </c>
      <c r="D57" s="3" t="s">
        <v>28</v>
      </c>
      <c r="E57" s="13">
        <f t="shared" si="1"/>
        <v>6</v>
      </c>
      <c r="F57" s="13">
        <f t="shared" si="2"/>
        <v>999.99999999999648</v>
      </c>
      <c r="G57" s="13">
        <v>6</v>
      </c>
      <c r="H57" s="13">
        <v>2</v>
      </c>
      <c r="I57" s="13">
        <v>9</v>
      </c>
    </row>
    <row r="58" spans="2:14">
      <c r="B58" s="13">
        <v>6.2</v>
      </c>
      <c r="C58" s="13" t="str">
        <f t="shared" si="0"/>
        <v>6.2 - Arthritis, Osteoarthritis</v>
      </c>
      <c r="D58" s="3" t="s">
        <v>443</v>
      </c>
      <c r="E58" s="13">
        <f t="shared" si="1"/>
        <v>6</v>
      </c>
      <c r="F58" s="13">
        <f t="shared" si="2"/>
        <v>2000.0000000000018</v>
      </c>
      <c r="G58" s="13">
        <v>6</v>
      </c>
      <c r="H58" s="13">
        <v>2</v>
      </c>
      <c r="I58" s="13">
        <v>9</v>
      </c>
    </row>
    <row r="59" spans="2:14">
      <c r="B59" s="13">
        <v>6.9</v>
      </c>
      <c r="C59" s="13" t="str">
        <f t="shared" si="0"/>
        <v>6.9 - Other arthritis</v>
      </c>
      <c r="D59" s="3" t="s">
        <v>29</v>
      </c>
      <c r="E59" s="13">
        <f t="shared" si="1"/>
        <v>6</v>
      </c>
      <c r="F59" s="13">
        <f t="shared" si="2"/>
        <v>9000.0000000000036</v>
      </c>
      <c r="G59" s="13">
        <v>6</v>
      </c>
      <c r="H59" s="13">
        <v>2</v>
      </c>
      <c r="I59" s="13">
        <v>9</v>
      </c>
    </row>
    <row r="60" spans="2:14">
      <c r="B60" s="13">
        <v>7.1</v>
      </c>
      <c r="C60" s="13" t="str">
        <f t="shared" si="0"/>
        <v>7.1 - Pain, Neck pain</v>
      </c>
      <c r="D60" s="3" t="s">
        <v>446</v>
      </c>
      <c r="E60" s="13">
        <f t="shared" si="1"/>
        <v>7</v>
      </c>
      <c r="F60" s="13">
        <f t="shared" si="2"/>
        <v>999.99999999999648</v>
      </c>
      <c r="G60" s="13">
        <v>7</v>
      </c>
      <c r="H60" s="13">
        <v>2</v>
      </c>
      <c r="I60" s="13">
        <v>3</v>
      </c>
    </row>
    <row r="61" spans="2:14">
      <c r="B61" s="13">
        <v>7.2</v>
      </c>
      <c r="C61" s="13" t="str">
        <f t="shared" si="0"/>
        <v>7.2 - Pain, Back pain</v>
      </c>
      <c r="D61" s="3" t="s">
        <v>30</v>
      </c>
      <c r="E61" s="13">
        <f t="shared" si="1"/>
        <v>7</v>
      </c>
      <c r="F61" s="13">
        <f t="shared" si="2"/>
        <v>2000.0000000000018</v>
      </c>
      <c r="G61" s="13">
        <v>7</v>
      </c>
      <c r="H61" s="13">
        <v>2</v>
      </c>
      <c r="I61" s="13">
        <v>3</v>
      </c>
    </row>
    <row r="62" spans="2:14">
      <c r="B62" s="13">
        <v>7.3</v>
      </c>
      <c r="C62" s="13" t="str">
        <f t="shared" si="0"/>
        <v>7.3 - Pain, Extremity pain</v>
      </c>
      <c r="D62" s="3" t="s">
        <v>31</v>
      </c>
      <c r="E62" s="13">
        <f t="shared" si="1"/>
        <v>7</v>
      </c>
      <c r="F62" s="13">
        <f t="shared" si="2"/>
        <v>2999.9999999999982</v>
      </c>
      <c r="G62" s="13">
        <v>7</v>
      </c>
      <c r="H62" s="13">
        <v>2</v>
      </c>
      <c r="I62" s="13">
        <v>3</v>
      </c>
    </row>
    <row r="63" spans="2:14">
      <c r="B63" s="13">
        <v>7.4</v>
      </c>
      <c r="C63" s="13" t="str">
        <f t="shared" si="0"/>
        <v>7.4 - Pain, Headache (includes migraine)</v>
      </c>
      <c r="D63" s="3" t="s">
        <v>447</v>
      </c>
      <c r="E63" s="13">
        <f t="shared" si="1"/>
        <v>7</v>
      </c>
      <c r="F63" s="13">
        <f t="shared" si="2"/>
        <v>4000.0000000000036</v>
      </c>
      <c r="G63" s="13">
        <v>7</v>
      </c>
      <c r="H63" s="13">
        <v>2</v>
      </c>
      <c r="I63" s="13">
        <v>3</v>
      </c>
    </row>
    <row r="64" spans="2:14">
      <c r="B64" s="13">
        <v>7.5</v>
      </c>
      <c r="C64" s="13" t="str">
        <f t="shared" si="0"/>
        <v>7.5 - Pain, Multi‐site pain</v>
      </c>
      <c r="D64" s="3" t="s">
        <v>32</v>
      </c>
      <c r="E64" s="13">
        <f t="shared" si="1"/>
        <v>7</v>
      </c>
      <c r="F64" s="13">
        <f t="shared" si="2"/>
        <v>5000</v>
      </c>
      <c r="G64" s="13">
        <v>7</v>
      </c>
      <c r="H64" s="13">
        <v>2</v>
      </c>
      <c r="I64" s="13">
        <v>3</v>
      </c>
    </row>
    <row r="65" spans="2:13">
      <c r="B65" s="13">
        <v>7.9</v>
      </c>
      <c r="C65" s="13" t="str">
        <f t="shared" si="0"/>
        <v>7.9 - Other pain</v>
      </c>
      <c r="D65" s="3" t="s">
        <v>33</v>
      </c>
      <c r="E65" s="13">
        <f t="shared" si="1"/>
        <v>7</v>
      </c>
      <c r="F65" s="13">
        <f t="shared" si="2"/>
        <v>9000.0000000000036</v>
      </c>
      <c r="G65" s="13">
        <v>7</v>
      </c>
      <c r="H65" s="13">
        <v>2</v>
      </c>
      <c r="I65" s="13">
        <v>3</v>
      </c>
    </row>
    <row r="66" spans="2:13">
      <c r="B66" s="13">
        <v>8.1110000000000007</v>
      </c>
      <c r="C66" s="13" t="str">
        <f t="shared" si="0"/>
        <v>8.111 - Orthopaedic Conditions, Fracture of hip, unilateral (includes #NOF)</v>
      </c>
      <c r="D66" s="3" t="s">
        <v>448</v>
      </c>
      <c r="E66" s="13">
        <f t="shared" si="1"/>
        <v>8</v>
      </c>
      <c r="F66" s="13">
        <f t="shared" si="2"/>
        <v>1110.0000000000066</v>
      </c>
      <c r="G66" s="13">
        <v>81</v>
      </c>
      <c r="H66" s="13">
        <v>2</v>
      </c>
      <c r="I66" s="13" t="s">
        <v>267</v>
      </c>
    </row>
    <row r="67" spans="2:13">
      <c r="B67" s="13">
        <v>8.1120000000000001</v>
      </c>
      <c r="C67" s="13" t="str">
        <f t="shared" ref="C67:C103" si="3">CONCATENATE(B67," - ",D67)</f>
        <v>8.112 - Orthopaedic Conditions, Fracture of hip, bilateral (includes #NOF)</v>
      </c>
      <c r="D67" s="3" t="s">
        <v>449</v>
      </c>
      <c r="E67" s="13">
        <f t="shared" ref="E67:E103" si="4">ROUNDDOWN(B67,0)</f>
        <v>8</v>
      </c>
      <c r="F67" s="13">
        <f t="shared" ref="F67:F103" si="5">(B67-E67)*10000</f>
        <v>1120.0000000000009</v>
      </c>
      <c r="G67" s="13">
        <v>81</v>
      </c>
      <c r="H67" s="13">
        <v>2</v>
      </c>
      <c r="I67" s="13" t="s">
        <v>267</v>
      </c>
    </row>
    <row r="68" spans="2:13">
      <c r="B68" s="13">
        <v>8.1199999999999992</v>
      </c>
      <c r="C68" s="13" t="str">
        <f t="shared" si="3"/>
        <v>8.12 - Orthopaedic Conditions, Fracture of shaft of femur (excludes femur involving knee joint)</v>
      </c>
      <c r="D68" s="3" t="s">
        <v>450</v>
      </c>
      <c r="E68" s="13">
        <f t="shared" si="4"/>
        <v>8</v>
      </c>
      <c r="F68" s="13">
        <f t="shared" si="5"/>
        <v>1199.9999999999923</v>
      </c>
      <c r="G68" s="13">
        <v>81</v>
      </c>
      <c r="H68" s="13">
        <v>2</v>
      </c>
      <c r="I68" s="13" t="s">
        <v>267</v>
      </c>
    </row>
    <row r="69" spans="2:13">
      <c r="B69" s="13">
        <v>8.1300000000000008</v>
      </c>
      <c r="C69" s="13" t="str">
        <f t="shared" si="3"/>
        <v>8.13 - Orthopaedic Conditions, Fracture of pelvis</v>
      </c>
      <c r="D69" s="3" t="s">
        <v>34</v>
      </c>
      <c r="E69" s="13">
        <f t="shared" si="4"/>
        <v>8</v>
      </c>
      <c r="F69" s="13">
        <f t="shared" si="5"/>
        <v>1300.0000000000077</v>
      </c>
      <c r="G69" s="13">
        <v>81</v>
      </c>
      <c r="H69" s="13">
        <v>2</v>
      </c>
      <c r="I69" s="13" t="s">
        <v>267</v>
      </c>
      <c r="L69" s="13" t="s">
        <v>52</v>
      </c>
      <c r="M69" s="13" t="s">
        <v>213</v>
      </c>
    </row>
    <row r="70" spans="2:13">
      <c r="B70" s="13">
        <v>8.141</v>
      </c>
      <c r="C70" s="13" t="str">
        <f t="shared" si="3"/>
        <v>8.141 - Orthopaedic Conditions, Fracture of knee (includes patella, femur involving knee joint, tibia or fibula involving knee joint)</v>
      </c>
      <c r="D70" s="3" t="s">
        <v>470</v>
      </c>
      <c r="E70" s="13">
        <f t="shared" si="4"/>
        <v>8</v>
      </c>
      <c r="F70" s="13">
        <f t="shared" si="5"/>
        <v>1410.0000000000002</v>
      </c>
      <c r="G70" s="13">
        <v>81</v>
      </c>
      <c r="H70" s="13">
        <v>2</v>
      </c>
      <c r="I70" s="13" t="s">
        <v>267</v>
      </c>
      <c r="L70" s="13" t="s">
        <v>89</v>
      </c>
      <c r="M70" s="13">
        <v>1</v>
      </c>
    </row>
    <row r="71" spans="2:13">
      <c r="B71" s="13">
        <v>8.1419999999999995</v>
      </c>
      <c r="C71" s="13" t="str">
        <f t="shared" si="3"/>
        <v>8.142 - Orthopaedic Conditions, Fracture of leg, ankle, foot</v>
      </c>
      <c r="D71" s="3" t="s">
        <v>451</v>
      </c>
      <c r="E71" s="13">
        <f t="shared" si="4"/>
        <v>8</v>
      </c>
      <c r="F71" s="13">
        <f t="shared" si="5"/>
        <v>1419.9999999999945</v>
      </c>
      <c r="G71" s="13">
        <v>81</v>
      </c>
      <c r="H71" s="13">
        <v>2</v>
      </c>
      <c r="I71" s="13" t="s">
        <v>267</v>
      </c>
      <c r="L71" s="13" t="s">
        <v>180</v>
      </c>
      <c r="M71" s="13">
        <v>2</v>
      </c>
    </row>
    <row r="72" spans="2:13">
      <c r="B72" s="13">
        <v>8.15</v>
      </c>
      <c r="C72" s="13" t="str">
        <f t="shared" si="3"/>
        <v>8.15 - Orthopaedic Conditions, Fracture of upper limb (includes hand, fingers, wrist, forearm, arm, shoulder)</v>
      </c>
      <c r="D72" s="3" t="s">
        <v>452</v>
      </c>
      <c r="E72" s="13">
        <f t="shared" si="4"/>
        <v>8</v>
      </c>
      <c r="F72" s="13">
        <f t="shared" si="5"/>
        <v>1500.0000000000036</v>
      </c>
      <c r="G72" s="13">
        <v>81</v>
      </c>
      <c r="H72" s="13">
        <v>2</v>
      </c>
      <c r="I72" s="13" t="s">
        <v>267</v>
      </c>
      <c r="L72" s="13" t="s">
        <v>187</v>
      </c>
      <c r="M72" s="13">
        <v>3</v>
      </c>
    </row>
    <row r="73" spans="2:13">
      <c r="B73" s="13">
        <v>8.16</v>
      </c>
      <c r="C73" s="13" t="str">
        <f t="shared" si="3"/>
        <v>8.16 - Orthopaedic Conditions, Fracture of spine (excludes where the major disorder is pain)</v>
      </c>
      <c r="D73" s="3" t="s">
        <v>453</v>
      </c>
      <c r="E73" s="13">
        <f t="shared" si="4"/>
        <v>8</v>
      </c>
      <c r="F73" s="13">
        <f t="shared" si="5"/>
        <v>1600.0000000000014</v>
      </c>
      <c r="G73" s="13">
        <v>81</v>
      </c>
      <c r="H73" s="13">
        <v>2</v>
      </c>
      <c r="I73" s="13" t="s">
        <v>267</v>
      </c>
    </row>
    <row r="74" spans="2:13">
      <c r="B74" s="13">
        <v>8.17</v>
      </c>
      <c r="C74" s="13" t="str">
        <f t="shared" si="3"/>
        <v>8.17 - Orthopaedic Conditions, Fracture of multiple sites</v>
      </c>
      <c r="D74" s="3" t="s">
        <v>454</v>
      </c>
      <c r="E74" s="13">
        <f t="shared" si="4"/>
        <v>8</v>
      </c>
      <c r="F74" s="13">
        <f t="shared" si="5"/>
        <v>1699.9999999999993</v>
      </c>
      <c r="G74" s="13">
        <v>81</v>
      </c>
      <c r="H74" s="13">
        <v>2</v>
      </c>
      <c r="I74" s="13" t="s">
        <v>267</v>
      </c>
      <c r="L74" s="13" t="s">
        <v>52</v>
      </c>
      <c r="M74" s="13" t="s">
        <v>213</v>
      </c>
    </row>
    <row r="75" spans="2:13">
      <c r="B75" s="13">
        <v>8.19</v>
      </c>
      <c r="C75" s="13" t="str">
        <f t="shared" si="3"/>
        <v>8.19 - Other orthopaedic fracture</v>
      </c>
      <c r="D75" s="3" t="s">
        <v>35</v>
      </c>
      <c r="E75" s="13">
        <f t="shared" si="4"/>
        <v>8</v>
      </c>
      <c r="F75" s="13">
        <f t="shared" si="5"/>
        <v>1899.999999999995</v>
      </c>
      <c r="G75" s="13">
        <v>81</v>
      </c>
      <c r="H75" s="13">
        <v>2</v>
      </c>
      <c r="I75" s="13" t="s">
        <v>267</v>
      </c>
      <c r="L75" s="13" t="s">
        <v>215</v>
      </c>
      <c r="M75" s="13">
        <v>2</v>
      </c>
    </row>
    <row r="76" spans="2:13">
      <c r="B76" s="13">
        <v>8.2110000000000003</v>
      </c>
      <c r="C76" s="13" t="str">
        <f t="shared" si="3"/>
        <v>8.211 - Post orthopaedic surgery, Unilateral hip replacement</v>
      </c>
      <c r="D76" s="3" t="s">
        <v>455</v>
      </c>
      <c r="E76" s="13">
        <f t="shared" si="4"/>
        <v>8</v>
      </c>
      <c r="F76" s="13">
        <f t="shared" si="5"/>
        <v>2110.0000000000032</v>
      </c>
      <c r="G76" s="13">
        <v>82</v>
      </c>
      <c r="H76" s="13">
        <v>2</v>
      </c>
      <c r="I76" s="13">
        <v>4</v>
      </c>
      <c r="L76" s="13" t="s">
        <v>228</v>
      </c>
      <c r="M76" s="13">
        <v>2</v>
      </c>
    </row>
    <row r="77" spans="2:13">
      <c r="B77" s="13">
        <v>8.2119999999999997</v>
      </c>
      <c r="C77" s="13" t="str">
        <f t="shared" si="3"/>
        <v>8.212 - Post orthopaedic surgery, Bilateral hip replacement</v>
      </c>
      <c r="D77" s="3" t="s">
        <v>36</v>
      </c>
      <c r="E77" s="13">
        <f t="shared" si="4"/>
        <v>8</v>
      </c>
      <c r="F77" s="13">
        <f t="shared" si="5"/>
        <v>2119.9999999999973</v>
      </c>
      <c r="G77" s="13">
        <v>82</v>
      </c>
      <c r="H77" s="13">
        <v>2</v>
      </c>
      <c r="I77" s="13">
        <v>4</v>
      </c>
      <c r="L77" s="13" t="s">
        <v>230</v>
      </c>
      <c r="M77" s="13">
        <v>2</v>
      </c>
    </row>
    <row r="78" spans="2:13">
      <c r="B78" s="13">
        <v>8.2210000000000001</v>
      </c>
      <c r="C78" s="13" t="str">
        <f t="shared" si="3"/>
        <v>8.221 - Post orthopaedic surgery, Unilateral knee replacement</v>
      </c>
      <c r="D78" s="3" t="s">
        <v>456</v>
      </c>
      <c r="E78" s="13">
        <f t="shared" si="4"/>
        <v>8</v>
      </c>
      <c r="F78" s="13">
        <f t="shared" si="5"/>
        <v>2210.0000000000009</v>
      </c>
      <c r="G78" s="13">
        <v>82</v>
      </c>
      <c r="H78" s="13">
        <v>2</v>
      </c>
      <c r="I78" s="13">
        <v>4</v>
      </c>
      <c r="L78" s="13" t="s">
        <v>231</v>
      </c>
      <c r="M78" s="13">
        <v>2</v>
      </c>
    </row>
    <row r="79" spans="2:13">
      <c r="B79" s="13">
        <v>8.2219999999999995</v>
      </c>
      <c r="C79" s="13" t="str">
        <f t="shared" si="3"/>
        <v>8.222 - Post orthopaedic surgery, Bilateral knee replacement</v>
      </c>
      <c r="D79" s="3" t="s">
        <v>37</v>
      </c>
      <c r="E79" s="13">
        <f t="shared" si="4"/>
        <v>8</v>
      </c>
      <c r="F79" s="13">
        <f t="shared" si="5"/>
        <v>2219.9999999999955</v>
      </c>
      <c r="G79" s="13">
        <v>82</v>
      </c>
      <c r="H79" s="13">
        <v>2</v>
      </c>
      <c r="I79" s="13">
        <v>4</v>
      </c>
      <c r="L79" s="13" t="s">
        <v>214</v>
      </c>
      <c r="M79" s="13">
        <v>1</v>
      </c>
    </row>
    <row r="80" spans="2:13">
      <c r="B80" s="13">
        <v>8.2309999999999999</v>
      </c>
      <c r="C80" s="13" t="str">
        <f t="shared" si="3"/>
        <v>8.231 - Post orthopaedic surgery, Knee and hip replacement same side</v>
      </c>
      <c r="D80" s="3" t="s">
        <v>469</v>
      </c>
      <c r="E80" s="13">
        <f t="shared" si="4"/>
        <v>8</v>
      </c>
      <c r="F80" s="13">
        <f t="shared" si="5"/>
        <v>2309.9999999999986</v>
      </c>
      <c r="G80" s="13">
        <v>82</v>
      </c>
      <c r="H80" s="13">
        <v>2</v>
      </c>
      <c r="I80" s="13">
        <v>4</v>
      </c>
      <c r="L80" s="13" t="s">
        <v>229</v>
      </c>
      <c r="M80" s="13">
        <v>1</v>
      </c>
    </row>
    <row r="81" spans="2:13">
      <c r="B81" s="13">
        <v>8.2319999999999993</v>
      </c>
      <c r="C81" s="13" t="str">
        <f t="shared" si="3"/>
        <v>8.232 - Post orthopaedic surgery, Knee and hip replacement different sides</v>
      </c>
      <c r="D81" s="3" t="s">
        <v>457</v>
      </c>
      <c r="E81" s="13">
        <f t="shared" si="4"/>
        <v>8</v>
      </c>
      <c r="F81" s="13">
        <f t="shared" si="5"/>
        <v>2319.9999999999932</v>
      </c>
      <c r="G81" s="13">
        <v>82</v>
      </c>
      <c r="H81" s="13">
        <v>2</v>
      </c>
      <c r="I81" s="13">
        <v>4</v>
      </c>
      <c r="L81" s="13" t="s">
        <v>226</v>
      </c>
      <c r="M81" s="13">
        <v>1</v>
      </c>
    </row>
    <row r="82" spans="2:13">
      <c r="B82" s="13">
        <v>8.24</v>
      </c>
      <c r="C82" s="13" t="str">
        <f t="shared" si="3"/>
        <v>8.24 - Post orthopaedic surgery, Shoulder replacement or repair</v>
      </c>
      <c r="D82" s="3" t="s">
        <v>458</v>
      </c>
      <c r="E82" s="13">
        <f t="shared" si="4"/>
        <v>8</v>
      </c>
      <c r="F82" s="13">
        <f t="shared" si="5"/>
        <v>2400.0000000000023</v>
      </c>
      <c r="G82" s="13">
        <v>82</v>
      </c>
      <c r="H82" s="13">
        <v>2</v>
      </c>
      <c r="I82" s="13">
        <v>4</v>
      </c>
      <c r="L82" s="13" t="s">
        <v>232</v>
      </c>
      <c r="M82" s="13">
        <v>1</v>
      </c>
    </row>
    <row r="83" spans="2:13">
      <c r="B83" s="13">
        <v>8.25</v>
      </c>
      <c r="C83" s="13" t="str">
        <f t="shared" si="3"/>
        <v>8.25 - Post orthopaedic surgery, Post spinal surgery</v>
      </c>
      <c r="D83" s="3" t="s">
        <v>468</v>
      </c>
      <c r="E83" s="13">
        <f t="shared" si="4"/>
        <v>8</v>
      </c>
      <c r="F83" s="13">
        <f t="shared" si="5"/>
        <v>2500</v>
      </c>
      <c r="G83" s="13">
        <v>82</v>
      </c>
      <c r="H83" s="13">
        <v>2</v>
      </c>
      <c r="I83" s="13">
        <v>2</v>
      </c>
    </row>
    <row r="84" spans="2:13">
      <c r="B84" s="13">
        <v>8.26</v>
      </c>
      <c r="C84" s="13" t="str">
        <f t="shared" si="3"/>
        <v>8.26 - Other orthopaedic surgery</v>
      </c>
      <c r="D84" s="3" t="s">
        <v>38</v>
      </c>
      <c r="E84" s="13">
        <f t="shared" si="4"/>
        <v>8</v>
      </c>
      <c r="F84" s="13">
        <f t="shared" si="5"/>
        <v>2599.9999999999977</v>
      </c>
      <c r="G84" s="13">
        <v>82</v>
      </c>
      <c r="H84" s="13">
        <v>2</v>
      </c>
      <c r="I84" s="13">
        <v>2</v>
      </c>
    </row>
    <row r="85" spans="2:13">
      <c r="B85" s="13">
        <v>8.3000000000000007</v>
      </c>
      <c r="C85" s="13" t="str">
        <f t="shared" si="3"/>
        <v>8.3 - Soft tissue injury</v>
      </c>
      <c r="D85" s="3" t="s">
        <v>459</v>
      </c>
      <c r="E85" s="13">
        <f t="shared" si="4"/>
        <v>8</v>
      </c>
      <c r="F85" s="13">
        <f t="shared" si="5"/>
        <v>3000.0000000000073</v>
      </c>
      <c r="G85" s="13">
        <v>83</v>
      </c>
      <c r="H85" s="13">
        <v>2</v>
      </c>
      <c r="I85" s="13">
        <v>2</v>
      </c>
    </row>
    <row r="86" spans="2:13">
      <c r="B86" s="13">
        <v>9.1</v>
      </c>
      <c r="C86" s="13" t="str">
        <f t="shared" si="3"/>
        <v>9.1 - Cardiac, Following recent onset of new cardiac impairment</v>
      </c>
      <c r="D86" s="3" t="s">
        <v>39</v>
      </c>
      <c r="E86" s="13">
        <f t="shared" si="4"/>
        <v>9</v>
      </c>
      <c r="F86" s="13">
        <f t="shared" si="5"/>
        <v>999.99999999999648</v>
      </c>
      <c r="G86" s="13">
        <v>9</v>
      </c>
      <c r="H86" s="13">
        <v>2</v>
      </c>
      <c r="I86" s="13">
        <v>3</v>
      </c>
    </row>
    <row r="87" spans="2:13">
      <c r="B87" s="13">
        <v>9.1999999999999993</v>
      </c>
      <c r="C87" s="13" t="str">
        <f t="shared" si="3"/>
        <v>9.2 - Cardiac, Chronic cardiac insufficiency</v>
      </c>
      <c r="D87" s="3" t="s">
        <v>40</v>
      </c>
      <c r="E87" s="13">
        <f t="shared" si="4"/>
        <v>9</v>
      </c>
      <c r="F87" s="13">
        <f t="shared" si="5"/>
        <v>1999.999999999993</v>
      </c>
      <c r="G87" s="13">
        <v>9</v>
      </c>
      <c r="H87" s="13">
        <v>2</v>
      </c>
      <c r="I87" s="13">
        <v>3</v>
      </c>
    </row>
    <row r="88" spans="2:13">
      <c r="B88" s="13">
        <v>9.3000000000000007</v>
      </c>
      <c r="C88" s="13" t="str">
        <f t="shared" si="3"/>
        <v>9.3 - Cardiac, Heart or heart/lung transplant</v>
      </c>
      <c r="D88" s="3" t="s">
        <v>460</v>
      </c>
      <c r="E88" s="13">
        <f t="shared" si="4"/>
        <v>9</v>
      </c>
      <c r="F88" s="13">
        <f t="shared" si="5"/>
        <v>3000.0000000000073</v>
      </c>
      <c r="G88" s="13">
        <v>9</v>
      </c>
      <c r="H88" s="13">
        <v>2</v>
      </c>
      <c r="I88" s="13">
        <v>3</v>
      </c>
    </row>
    <row r="89" spans="2:13">
      <c r="B89" s="13">
        <v>10.1</v>
      </c>
      <c r="C89" s="13" t="str">
        <f t="shared" si="3"/>
        <v>10.1 - Pulmonary, Chronic obstructive pulmonary disease</v>
      </c>
      <c r="D89" s="3" t="s">
        <v>41</v>
      </c>
      <c r="E89" s="13">
        <f t="shared" si="4"/>
        <v>10</v>
      </c>
      <c r="F89" s="13">
        <f t="shared" si="5"/>
        <v>999.99999999999648</v>
      </c>
      <c r="G89" s="13">
        <v>10</v>
      </c>
      <c r="H89" s="13">
        <v>2</v>
      </c>
      <c r="I89" s="13">
        <v>3</v>
      </c>
    </row>
    <row r="90" spans="2:13">
      <c r="B90" s="13">
        <v>10.199999999999999</v>
      </c>
      <c r="C90" s="13" t="str">
        <f t="shared" si="3"/>
        <v>10.2 - Pulmonary, Lung transplant</v>
      </c>
      <c r="D90" s="3" t="s">
        <v>42</v>
      </c>
      <c r="E90" s="13">
        <f t="shared" si="4"/>
        <v>10</v>
      </c>
      <c r="F90" s="13">
        <f t="shared" si="5"/>
        <v>1999.999999999993</v>
      </c>
      <c r="G90" s="13">
        <v>10</v>
      </c>
      <c r="H90" s="13">
        <v>2</v>
      </c>
      <c r="I90" s="13">
        <v>3</v>
      </c>
    </row>
    <row r="91" spans="2:13">
      <c r="B91" s="13">
        <v>10.9</v>
      </c>
      <c r="C91" s="13" t="str">
        <f t="shared" si="3"/>
        <v>10.9 - Other pulmonary</v>
      </c>
      <c r="D91" s="3" t="s">
        <v>43</v>
      </c>
      <c r="E91" s="13">
        <f t="shared" si="4"/>
        <v>10</v>
      </c>
      <c r="F91" s="13">
        <f t="shared" si="5"/>
        <v>9000.0000000000036</v>
      </c>
      <c r="G91" s="13">
        <v>10</v>
      </c>
      <c r="H91" s="13">
        <v>2</v>
      </c>
      <c r="I91" s="13">
        <v>3</v>
      </c>
    </row>
    <row r="92" spans="2:13">
      <c r="B92" s="13">
        <v>11</v>
      </c>
      <c r="C92" s="13" t="str">
        <f t="shared" si="3"/>
        <v>11 - Burns</v>
      </c>
      <c r="D92" s="3" t="s">
        <v>44</v>
      </c>
      <c r="E92" s="13">
        <f t="shared" si="4"/>
        <v>11</v>
      </c>
      <c r="F92" s="13">
        <f t="shared" si="5"/>
        <v>0</v>
      </c>
      <c r="G92" s="13">
        <v>11</v>
      </c>
      <c r="H92" s="13">
        <v>1</v>
      </c>
      <c r="I92" s="13">
        <v>9</v>
      </c>
    </row>
    <row r="93" spans="2:13">
      <c r="B93" s="13">
        <v>12.1</v>
      </c>
      <c r="C93" s="13" t="str">
        <f t="shared" si="3"/>
        <v>12.1 - Congenital Deformities, Spina bifida</v>
      </c>
      <c r="D93" s="3" t="s">
        <v>461</v>
      </c>
      <c r="E93" s="13">
        <f t="shared" si="4"/>
        <v>12</v>
      </c>
      <c r="F93" s="13">
        <f t="shared" si="5"/>
        <v>999.99999999999648</v>
      </c>
      <c r="G93" s="13">
        <v>12</v>
      </c>
      <c r="H93" s="13">
        <v>2</v>
      </c>
      <c r="I93" s="13">
        <v>9</v>
      </c>
    </row>
    <row r="94" spans="2:13">
      <c r="B94" s="13">
        <v>12.9</v>
      </c>
      <c r="C94" s="13" t="str">
        <f t="shared" si="3"/>
        <v>12.9 - Other congenital</v>
      </c>
      <c r="D94" s="3" t="s">
        <v>45</v>
      </c>
      <c r="E94" s="13">
        <f t="shared" si="4"/>
        <v>12</v>
      </c>
      <c r="F94" s="13">
        <f t="shared" si="5"/>
        <v>9000.0000000000036</v>
      </c>
      <c r="G94" s="13">
        <v>12</v>
      </c>
      <c r="H94" s="13">
        <v>2</v>
      </c>
      <c r="I94" s="13">
        <v>9</v>
      </c>
    </row>
    <row r="95" spans="2:13">
      <c r="B95" s="13">
        <v>13.1</v>
      </c>
      <c r="C95" s="13" t="str">
        <f t="shared" si="3"/>
        <v>13.1 - Other Disabling Impairments, Lymphoedema</v>
      </c>
      <c r="D95" s="3" t="s">
        <v>462</v>
      </c>
      <c r="E95" s="13">
        <f t="shared" si="4"/>
        <v>13</v>
      </c>
      <c r="F95" s="13">
        <f t="shared" si="5"/>
        <v>999.99999999999648</v>
      </c>
      <c r="G95" s="13">
        <v>13</v>
      </c>
      <c r="H95" s="13">
        <v>2</v>
      </c>
      <c r="I95" s="13">
        <v>9</v>
      </c>
    </row>
    <row r="96" spans="2:13">
      <c r="B96" s="13">
        <v>13.3</v>
      </c>
      <c r="C96" s="13" t="str">
        <f t="shared" si="3"/>
        <v>13.3 - Other Disabling Impairments, Conversion disorder</v>
      </c>
      <c r="D96" s="3" t="s">
        <v>463</v>
      </c>
      <c r="E96" s="13">
        <f t="shared" si="4"/>
        <v>13</v>
      </c>
      <c r="F96" s="13">
        <f t="shared" si="5"/>
        <v>3000.0000000000073</v>
      </c>
      <c r="G96" s="13">
        <v>13</v>
      </c>
      <c r="H96" s="13">
        <v>2</v>
      </c>
      <c r="I96" s="13">
        <v>9</v>
      </c>
    </row>
    <row r="97" spans="2:9">
      <c r="B97" s="13">
        <v>13.9</v>
      </c>
      <c r="C97" s="13" t="str">
        <f t="shared" si="3"/>
        <v>13.9 - Other disabling impairments. This classification should rarely be used.</v>
      </c>
      <c r="D97" s="3" t="s">
        <v>46</v>
      </c>
      <c r="E97" s="13">
        <f t="shared" si="4"/>
        <v>13</v>
      </c>
      <c r="F97" s="13">
        <f t="shared" si="5"/>
        <v>9000.0000000000036</v>
      </c>
      <c r="G97" s="13">
        <v>13</v>
      </c>
      <c r="H97" s="13">
        <v>2</v>
      </c>
      <c r="I97" s="13">
        <v>9</v>
      </c>
    </row>
    <row r="98" spans="2:9">
      <c r="B98" s="13">
        <v>14.1</v>
      </c>
      <c r="C98" s="13" t="str">
        <f t="shared" si="3"/>
        <v>14.1 - Major Multiple Trauma, Brain + spinal cord injury</v>
      </c>
      <c r="D98" s="3" t="s">
        <v>47</v>
      </c>
      <c r="E98" s="13">
        <f t="shared" si="4"/>
        <v>14</v>
      </c>
      <c r="F98" s="13">
        <f t="shared" si="5"/>
        <v>999.99999999999648</v>
      </c>
      <c r="G98" s="13">
        <v>14</v>
      </c>
      <c r="H98" s="13">
        <v>1</v>
      </c>
      <c r="I98" s="13" t="s">
        <v>268</v>
      </c>
    </row>
    <row r="99" spans="2:9">
      <c r="B99" s="13">
        <v>14.2</v>
      </c>
      <c r="C99" s="13" t="str">
        <f t="shared" si="3"/>
        <v>14.2 - Major Multiple Trauma, Brain + multiple fracture/amputation</v>
      </c>
      <c r="D99" s="3" t="s">
        <v>464</v>
      </c>
      <c r="E99" s="13">
        <f t="shared" si="4"/>
        <v>14</v>
      </c>
      <c r="F99" s="13">
        <f t="shared" si="5"/>
        <v>1999.999999999993</v>
      </c>
      <c r="G99" s="13">
        <v>14</v>
      </c>
      <c r="H99" s="13">
        <v>1</v>
      </c>
      <c r="I99" s="13" t="s">
        <v>268</v>
      </c>
    </row>
    <row r="100" spans="2:9">
      <c r="B100" s="13">
        <v>14.3</v>
      </c>
      <c r="C100" s="13" t="str">
        <f t="shared" si="3"/>
        <v>14.3 - Major Multiple Trauma, Spinal cord + multiple fracture/amputation</v>
      </c>
      <c r="D100" s="3" t="s">
        <v>465</v>
      </c>
      <c r="E100" s="13">
        <f t="shared" si="4"/>
        <v>14</v>
      </c>
      <c r="F100" s="13">
        <f t="shared" si="5"/>
        <v>3000.0000000000073</v>
      </c>
      <c r="G100" s="13">
        <v>14</v>
      </c>
      <c r="H100" s="13">
        <v>1</v>
      </c>
      <c r="I100" s="13" t="s">
        <v>268</v>
      </c>
    </row>
    <row r="101" spans="2:9">
      <c r="B101" s="13">
        <v>14.9</v>
      </c>
      <c r="C101" s="13" t="str">
        <f t="shared" si="3"/>
        <v>14.9 - Other Multiple trauma</v>
      </c>
      <c r="D101" s="3" t="s">
        <v>217</v>
      </c>
      <c r="E101" s="13">
        <f t="shared" si="4"/>
        <v>14</v>
      </c>
      <c r="F101" s="13">
        <f t="shared" si="5"/>
        <v>9000.0000000000036</v>
      </c>
      <c r="G101" s="13">
        <v>14</v>
      </c>
      <c r="H101" s="13">
        <v>1</v>
      </c>
      <c r="I101" s="13" t="s">
        <v>268</v>
      </c>
    </row>
    <row r="102" spans="2:9">
      <c r="B102" s="13">
        <v>15.1</v>
      </c>
      <c r="C102" s="13" t="str">
        <f t="shared" si="3"/>
        <v>15.1 - Developmental disabilities</v>
      </c>
      <c r="D102" s="3" t="s">
        <v>48</v>
      </c>
      <c r="E102" s="13">
        <f t="shared" si="4"/>
        <v>15</v>
      </c>
      <c r="F102" s="13">
        <f t="shared" si="5"/>
        <v>999.99999999999648</v>
      </c>
      <c r="G102" s="13">
        <v>15</v>
      </c>
      <c r="H102" s="13">
        <v>2</v>
      </c>
      <c r="I102" s="13">
        <v>9</v>
      </c>
    </row>
    <row r="103" spans="2:9">
      <c r="B103" s="13">
        <v>16.100000000000001</v>
      </c>
      <c r="C103" s="13" t="str">
        <f t="shared" si="3"/>
        <v>16.1 - Reconditioning following surgery</v>
      </c>
      <c r="D103" s="3" t="s">
        <v>466</v>
      </c>
      <c r="E103" s="13">
        <f t="shared" si="4"/>
        <v>16</v>
      </c>
      <c r="F103" s="13">
        <f t="shared" si="5"/>
        <v>1000.0000000000142</v>
      </c>
      <c r="G103" s="13">
        <v>16</v>
      </c>
      <c r="H103" s="13">
        <v>2</v>
      </c>
      <c r="I103" s="13" t="s">
        <v>269</v>
      </c>
    </row>
    <row r="104" spans="2:9">
      <c r="B104" s="13">
        <v>16.2</v>
      </c>
      <c r="C104" s="13" t="str">
        <f>CONCATENATE(B104," - ",D104)</f>
        <v>16.2 - Reconditioning following medical illness</v>
      </c>
      <c r="D104" s="3" t="s">
        <v>467</v>
      </c>
      <c r="E104" s="13">
        <f>ROUNDDOWN(B104,0)</f>
        <v>16</v>
      </c>
      <c r="F104" s="13">
        <f>(B104-E104)*10000</f>
        <v>1999.999999999993</v>
      </c>
      <c r="G104" s="13">
        <v>16</v>
      </c>
      <c r="H104" s="13">
        <v>2</v>
      </c>
      <c r="I104" s="13" t="s">
        <v>269</v>
      </c>
    </row>
    <row r="105" spans="2:9">
      <c r="B105" s="13">
        <v>16.3</v>
      </c>
      <c r="C105" s="13" t="str">
        <f>CONCATENATE(B105," - ",D105)</f>
        <v>16.3 - Cancer Rehabilitation</v>
      </c>
      <c r="D105" s="3" t="s">
        <v>49</v>
      </c>
      <c r="E105" s="13">
        <f>ROUNDDOWN(B105,0)</f>
        <v>16</v>
      </c>
      <c r="F105" s="13">
        <f>(B105-E105)*10000</f>
        <v>3000.0000000000073</v>
      </c>
      <c r="G105" s="13">
        <v>16</v>
      </c>
      <c r="H105" s="13">
        <v>2</v>
      </c>
      <c r="I105" s="13" t="s">
        <v>269</v>
      </c>
    </row>
    <row r="106" spans="2:9">
      <c r="B106" s="3">
        <v>18.100000000000001</v>
      </c>
      <c r="C106" s="13" t="str">
        <f t="shared" ref="C106:C108" si="6">CONCATENATE(B106," - ",D106)</f>
        <v>18.1 - COVID-19 with pulmonary issues</v>
      </c>
      <c r="D106" s="3" t="s">
        <v>504</v>
      </c>
      <c r="E106" s="13">
        <f t="shared" ref="E106:E108" si="7">ROUNDDOWN(B106,0)</f>
        <v>18</v>
      </c>
      <c r="F106" s="13">
        <f t="shared" ref="F106:F108" si="8">(B106-E106)*10000</f>
        <v>1000.0000000000142</v>
      </c>
      <c r="G106" s="13">
        <v>18</v>
      </c>
      <c r="H106" s="13">
        <v>2</v>
      </c>
      <c r="I106" s="13">
        <v>9</v>
      </c>
    </row>
    <row r="107" spans="2:9">
      <c r="B107" s="3">
        <v>18.2</v>
      </c>
      <c r="C107" s="13" t="str">
        <f t="shared" si="6"/>
        <v>18.2 - COVID-19 with deconditioning</v>
      </c>
      <c r="D107" s="3" t="s">
        <v>505</v>
      </c>
      <c r="E107" s="13">
        <f t="shared" si="7"/>
        <v>18</v>
      </c>
      <c r="F107" s="13">
        <f t="shared" si="8"/>
        <v>1999.999999999993</v>
      </c>
      <c r="G107" s="13">
        <v>18</v>
      </c>
      <c r="H107" s="13">
        <v>2</v>
      </c>
      <c r="I107" s="13">
        <v>9</v>
      </c>
    </row>
    <row r="108" spans="2:9">
      <c r="B108" s="3">
        <v>18.899999999999999</v>
      </c>
      <c r="C108" s="13" t="str">
        <f t="shared" si="6"/>
        <v>18.9 - COVID-19 all other</v>
      </c>
      <c r="D108" s="3" t="s">
        <v>506</v>
      </c>
      <c r="E108" s="13">
        <f t="shared" si="7"/>
        <v>18</v>
      </c>
      <c r="F108" s="13">
        <f t="shared" si="8"/>
        <v>8999.9999999999854</v>
      </c>
      <c r="G108" s="13">
        <v>18</v>
      </c>
      <c r="H108" s="13">
        <v>2</v>
      </c>
      <c r="I108" s="13">
        <v>9</v>
      </c>
    </row>
    <row r="111" spans="2:9">
      <c r="B111" s="13" t="s">
        <v>52</v>
      </c>
      <c r="C111" s="13" t="s">
        <v>53</v>
      </c>
      <c r="D111" s="13" t="s">
        <v>54</v>
      </c>
    </row>
    <row r="112" spans="2:9">
      <c r="B112" s="13" t="str">
        <f t="shared" ref="B112:B118" si="9">CONCATENATE(C112," - ",D112)</f>
        <v>1 - Total contact assistance</v>
      </c>
      <c r="C112" s="13">
        <v>1</v>
      </c>
      <c r="D112" s="13" t="s">
        <v>55</v>
      </c>
    </row>
    <row r="113" spans="2:4">
      <c r="B113" s="13" t="str">
        <f t="shared" si="9"/>
        <v>2 - Maximal contact assistance</v>
      </c>
      <c r="C113" s="13">
        <v>2</v>
      </c>
      <c r="D113" s="13" t="s">
        <v>56</v>
      </c>
    </row>
    <row r="114" spans="2:4">
      <c r="B114" s="13" t="str">
        <f t="shared" si="9"/>
        <v>3 - Moderate contact assistance</v>
      </c>
      <c r="C114" s="13">
        <v>3</v>
      </c>
      <c r="D114" s="13" t="s">
        <v>57</v>
      </c>
    </row>
    <row r="115" spans="2:4">
      <c r="B115" s="13" t="str">
        <f t="shared" si="9"/>
        <v>4 - Minimal contact assistance</v>
      </c>
      <c r="C115" s="13">
        <v>4</v>
      </c>
      <c r="D115" s="13" t="s">
        <v>58</v>
      </c>
    </row>
    <row r="116" spans="2:4">
      <c r="B116" s="13" t="str">
        <f t="shared" si="9"/>
        <v>5 - Supervision or setup</v>
      </c>
      <c r="C116" s="13">
        <v>5</v>
      </c>
      <c r="D116" s="13" t="s">
        <v>59</v>
      </c>
    </row>
    <row r="117" spans="2:4">
      <c r="B117" s="13" t="str">
        <f t="shared" si="9"/>
        <v>6 - Modified independence</v>
      </c>
      <c r="C117" s="13">
        <v>6</v>
      </c>
      <c r="D117" s="13" t="s">
        <v>60</v>
      </c>
    </row>
    <row r="118" spans="2:4">
      <c r="B118" s="13" t="str">
        <f t="shared" si="9"/>
        <v>7 - Complete Independence</v>
      </c>
      <c r="C118" s="13">
        <v>7</v>
      </c>
      <c r="D118" s="13" t="s">
        <v>61</v>
      </c>
    </row>
  </sheetData>
  <sheetProtection selectLockedCells="1" selectUnlockedCells="1"/>
  <pageMargins left="0.7" right="0.7" top="0.75" bottom="0.75" header="0.3" footer="0.3"/>
  <pageSetup paperSize="9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6"/>
  <sheetViews>
    <sheetView showGridLines="0" topLeftCell="B1" workbookViewId="0">
      <selection activeCell="C11" sqref="C11"/>
    </sheetView>
  </sheetViews>
  <sheetFormatPr defaultColWidth="9.140625" defaultRowHeight="15"/>
  <cols>
    <col min="1" max="1" width="9.140625" style="15"/>
    <col min="2" max="2" width="22.7109375" style="15" customWidth="1"/>
    <col min="3" max="3" width="40.7109375" style="15" customWidth="1"/>
    <col min="4" max="4" width="55.7109375" style="15" customWidth="1"/>
    <col min="5" max="5" width="38.5703125" style="15" customWidth="1"/>
    <col min="6" max="6" width="19.140625" style="15" customWidth="1"/>
    <col min="7" max="16384" width="9.140625" style="15"/>
  </cols>
  <sheetData>
    <row r="3" spans="2:14">
      <c r="E3" s="15" t="s">
        <v>50</v>
      </c>
      <c r="H3" s="15" t="s">
        <v>223</v>
      </c>
      <c r="J3" s="15" t="s">
        <v>399</v>
      </c>
      <c r="L3" s="15" t="s">
        <v>401</v>
      </c>
    </row>
    <row r="4" spans="2:14">
      <c r="B4" s="15" t="s">
        <v>212</v>
      </c>
      <c r="C4" s="16">
        <v>1</v>
      </c>
      <c r="D4" s="17" t="s">
        <v>62</v>
      </c>
      <c r="E4" s="18">
        <f>FIMeating</f>
        <v>0</v>
      </c>
      <c r="H4" s="15">
        <f>IF(AND(E4&gt;0,E4&lt;8),1,0)</f>
        <v>0</v>
      </c>
      <c r="J4" s="15" t="e">
        <f>VLOOKUP($C$10,WeightedFIMLookupV5!$B$4:$P$23,3,FALSE)</f>
        <v>#N/A</v>
      </c>
      <c r="L4" s="15" t="e">
        <f>E4*J4</f>
        <v>#N/A</v>
      </c>
    </row>
    <row r="5" spans="2:14">
      <c r="B5" s="15" t="s">
        <v>216</v>
      </c>
      <c r="C5" s="16">
        <f>IF(AssessOnly&lt;&gt;"",VLOOKUP(AssessOnly,AssessOnlyList, 2,FALSE),"")</f>
        <v>2</v>
      </c>
      <c r="D5" s="17" t="s">
        <v>63</v>
      </c>
      <c r="E5" s="18">
        <f>FIMgrooming</f>
        <v>0</v>
      </c>
      <c r="H5" s="15">
        <f t="shared" ref="H5:H21" si="0">IF(AND(E5&gt;0,E5&lt;8),1,0)</f>
        <v>0</v>
      </c>
      <c r="J5" s="15" t="e">
        <f>VLOOKUP($C$10,WeightedFIMLookupV5!$B$4:$P$23,4,FALSE)</f>
        <v>#N/A</v>
      </c>
      <c r="L5" s="15" t="e">
        <f t="shared" ref="L5:L15" si="1">E5*J5</f>
        <v>#N/A</v>
      </c>
    </row>
    <row r="6" spans="2:14">
      <c r="B6" s="15" t="s">
        <v>0</v>
      </c>
      <c r="D6" s="17" t="s">
        <v>64</v>
      </c>
      <c r="E6" s="18">
        <f>FIMbathing</f>
        <v>0</v>
      </c>
      <c r="H6" s="15">
        <f t="shared" si="0"/>
        <v>0</v>
      </c>
      <c r="J6" s="15" t="e">
        <f>VLOOKUP($C$10,WeightedFIMLookupV5!$B$4:$P$23,5,FALSE)</f>
        <v>#N/A</v>
      </c>
      <c r="L6" s="15" t="e">
        <f t="shared" si="1"/>
        <v>#N/A</v>
      </c>
    </row>
    <row r="7" spans="2:14">
      <c r="B7" s="15" t="s">
        <v>84</v>
      </c>
      <c r="C7" s="16">
        <f>AROC_Impairment_Code</f>
        <v>0</v>
      </c>
      <c r="D7" s="17" t="s">
        <v>65</v>
      </c>
      <c r="E7" s="18">
        <f>FIMupper</f>
        <v>0</v>
      </c>
      <c r="H7" s="15">
        <f t="shared" si="0"/>
        <v>0</v>
      </c>
      <c r="J7" s="15" t="e">
        <f>VLOOKUP($C$10,WeightedFIMLookupV5!$B$4:$P$23,6,FALSE)</f>
        <v>#N/A</v>
      </c>
      <c r="L7" s="15" t="e">
        <f t="shared" si="1"/>
        <v>#N/A</v>
      </c>
    </row>
    <row r="8" spans="2:14">
      <c r="B8" s="15" t="s">
        <v>85</v>
      </c>
      <c r="C8" s="16" t="str">
        <f>IF(AROC_Impairment_Code&lt;&gt;"",VLOOKUP(AROC_Impairment_Code, ImpairmentCode_v5, 4,FALSE),"")</f>
        <v/>
      </c>
      <c r="D8" s="17" t="s">
        <v>66</v>
      </c>
      <c r="E8" s="18">
        <f>FIMlower</f>
        <v>0</v>
      </c>
      <c r="H8" s="15">
        <f t="shared" si="0"/>
        <v>0</v>
      </c>
      <c r="J8" s="15" t="e">
        <f>VLOOKUP($C$10,WeightedFIMLookupV5!$B$4:$P$23,7,FALSE)</f>
        <v>#N/A</v>
      </c>
      <c r="L8" s="15" t="e">
        <f t="shared" si="1"/>
        <v>#N/A</v>
      </c>
    </row>
    <row r="9" spans="2:14">
      <c r="B9" s="15" t="s">
        <v>86</v>
      </c>
      <c r="C9" s="16" t="str">
        <f>IF(AROC_Impairment_Code&lt;&gt;"",VLOOKUP(AROC_Impairment_Code, ImpairmentCode_v5, 5,FALSE),"")</f>
        <v/>
      </c>
      <c r="D9" s="17" t="s">
        <v>67</v>
      </c>
      <c r="E9" s="18">
        <f>FIMtoileting</f>
        <v>0</v>
      </c>
      <c r="H9" s="15">
        <f t="shared" si="0"/>
        <v>0</v>
      </c>
      <c r="J9" s="15" t="e">
        <f>VLOOKUP($C$10,WeightedFIMLookupV5!$B$4:$P$23,8,FALSE)</f>
        <v>#N/A</v>
      </c>
      <c r="L9" s="15" t="e">
        <f t="shared" si="1"/>
        <v>#N/A</v>
      </c>
    </row>
    <row r="10" spans="2:14">
      <c r="B10" s="15" t="s">
        <v>400</v>
      </c>
      <c r="C10" s="15" t="str">
        <f>IF(AROC_Impairment_Code&lt;&gt;"",VLOOKUP(AROC_Impairment_Code, ImpairmentCode_v5, 6,FALSE),"")</f>
        <v/>
      </c>
      <c r="D10" s="17" t="s">
        <v>75</v>
      </c>
      <c r="E10" s="18">
        <f>FIMbladder</f>
        <v>0</v>
      </c>
      <c r="H10" s="15">
        <f t="shared" si="0"/>
        <v>0</v>
      </c>
      <c r="J10" s="15" t="e">
        <f>VLOOKUP($C$10,WeightedFIMLookupV5!$B$4:$P$23,9,FALSE)</f>
        <v>#N/A</v>
      </c>
      <c r="L10" s="15" t="e">
        <f t="shared" si="1"/>
        <v>#N/A</v>
      </c>
    </row>
    <row r="11" spans="2:14">
      <c r="B11" s="15" t="s">
        <v>260</v>
      </c>
      <c r="C11" s="16" t="str">
        <f>IF(AROC_Impairment_Code&lt;&gt;"",VLOOKUP(AROC_Impairment_Code, ImpairmentCode_v5, 7,FALSE),"")</f>
        <v/>
      </c>
      <c r="D11" s="17" t="s">
        <v>76</v>
      </c>
      <c r="E11" s="18">
        <f>FIMbowel</f>
        <v>0</v>
      </c>
      <c r="H11" s="15">
        <f t="shared" si="0"/>
        <v>0</v>
      </c>
      <c r="J11" s="15" t="e">
        <f>VLOOKUP($C$10,WeightedFIMLookupV5!$B$4:$P$23,10,FALSE)</f>
        <v>#N/A</v>
      </c>
      <c r="L11" s="15" t="e">
        <f t="shared" si="1"/>
        <v>#N/A</v>
      </c>
    </row>
    <row r="12" spans="2:14">
      <c r="B12" s="15" t="s">
        <v>261</v>
      </c>
      <c r="C12" s="16" t="str">
        <f>IF(AROC_Impairment_Code&lt;&gt;"",VLOOKUP(AROC_Impairment_Code, ImpairmentCode_v5, 8,FALSE),"")</f>
        <v/>
      </c>
      <c r="D12" s="17" t="s">
        <v>79</v>
      </c>
      <c r="E12" s="18">
        <f>FIMtransfer</f>
        <v>0</v>
      </c>
      <c r="H12" s="15">
        <f t="shared" si="0"/>
        <v>0</v>
      </c>
      <c r="J12" s="15" t="e">
        <f>VLOOKUP($C$10,WeightedFIMLookupV5!$B$4:$P$23,11,FALSE)</f>
        <v>#N/A</v>
      </c>
      <c r="L12" s="15" t="e">
        <f t="shared" si="1"/>
        <v>#N/A</v>
      </c>
    </row>
    <row r="13" spans="2:14">
      <c r="B13" s="15" t="s">
        <v>234</v>
      </c>
      <c r="C13" s="16" t="str">
        <f>IF(ISNA(VLOOKUP(AROC_Impairment_Code, ImpairmentCode_v5, 3,FALSE)),"Code Not Valid",(VLOOKUP(AROC_Impairment_Code, ImpairmentCode_v5, 3,FALSE)))</f>
        <v>Code Not Valid</v>
      </c>
      <c r="D13" s="17" t="s">
        <v>77</v>
      </c>
      <c r="E13" s="18">
        <f>FIMtransfertoil</f>
        <v>0</v>
      </c>
      <c r="H13" s="15">
        <f t="shared" si="0"/>
        <v>0</v>
      </c>
      <c r="J13" s="15" t="e">
        <f>VLOOKUP($C$10,WeightedFIMLookupV5!$B$4:$P$23,12,FALSE)</f>
        <v>#N/A</v>
      </c>
      <c r="L13" s="15" t="e">
        <f t="shared" si="1"/>
        <v>#N/A</v>
      </c>
    </row>
    <row r="14" spans="2:14">
      <c r="B14" s="15" t="s">
        <v>87</v>
      </c>
      <c r="C14" s="19">
        <f>IF(ISERROR(DATEDIF(Date_of_Birth,Episode_Start_Date,"Y")),"Data Incomplete",DATEDIF(Date_of_Birth,Episode_Start_Date,"Y"))</f>
        <v>0</v>
      </c>
      <c r="D14" s="17" t="s">
        <v>78</v>
      </c>
      <c r="E14" s="18">
        <f>FIMtransfertub</f>
        <v>0</v>
      </c>
      <c r="H14" s="15">
        <f t="shared" si="0"/>
        <v>0</v>
      </c>
      <c r="J14" s="15" t="e">
        <f>VLOOKUP($C$10,WeightedFIMLookupV5!$B$4:$P$23,13,FALSE)</f>
        <v>#N/A</v>
      </c>
      <c r="L14" s="15" t="e">
        <f t="shared" si="1"/>
        <v>#N/A</v>
      </c>
    </row>
    <row r="15" spans="2:14">
      <c r="D15" s="17" t="s">
        <v>68</v>
      </c>
      <c r="E15" s="18">
        <f>FIMlocomotion</f>
        <v>0</v>
      </c>
      <c r="F15" s="15" t="s">
        <v>81</v>
      </c>
      <c r="H15" s="15">
        <f t="shared" si="0"/>
        <v>0</v>
      </c>
      <c r="J15" s="15" t="e">
        <f>VLOOKUP($C$10,WeightedFIMLookupV5!$B$4:$P$23,14,FALSE)</f>
        <v>#N/A</v>
      </c>
      <c r="L15" s="15" t="e">
        <f t="shared" si="1"/>
        <v>#N/A</v>
      </c>
      <c r="M15" s="15" t="s">
        <v>402</v>
      </c>
    </row>
    <row r="16" spans="2:14">
      <c r="D16" s="17" t="s">
        <v>69</v>
      </c>
      <c r="E16" s="18">
        <f>FIMstairs</f>
        <v>0</v>
      </c>
      <c r="F16" s="20" t="str">
        <f>IF(SUM(H4:H16)=13,SUM(E4:E16),"Data Incomplete")</f>
        <v>Data Incomplete</v>
      </c>
      <c r="H16" s="15">
        <f t="shared" si="0"/>
        <v>0</v>
      </c>
      <c r="J16" s="15" t="e">
        <f>VLOOKUP($C$10,WeightedFIMLookupV5!$B$4:$P$23,15,FALSE)</f>
        <v>#N/A</v>
      </c>
      <c r="L16" s="15" t="e">
        <f>E16*J16</f>
        <v>#N/A</v>
      </c>
      <c r="N16" s="20" t="e">
        <f>SUM(L4:L16)</f>
        <v>#N/A</v>
      </c>
    </row>
    <row r="17" spans="4:14">
      <c r="D17" s="17" t="s">
        <v>70</v>
      </c>
      <c r="E17" s="18">
        <f>FIMcomprehension</f>
        <v>0</v>
      </c>
      <c r="H17" s="15">
        <f t="shared" si="0"/>
        <v>0</v>
      </c>
    </row>
    <row r="18" spans="4:14">
      <c r="D18" s="17" t="s">
        <v>71</v>
      </c>
      <c r="E18" s="18">
        <f>FIMexpression</f>
        <v>0</v>
      </c>
      <c r="H18" s="15">
        <f t="shared" si="0"/>
        <v>0</v>
      </c>
    </row>
    <row r="19" spans="4:14">
      <c r="D19" s="17" t="s">
        <v>72</v>
      </c>
      <c r="E19" s="18">
        <f>FIMsocial</f>
        <v>0</v>
      </c>
      <c r="H19" s="15">
        <f t="shared" si="0"/>
        <v>0</v>
      </c>
      <c r="M19" s="15" t="s">
        <v>403</v>
      </c>
    </row>
    <row r="20" spans="4:14">
      <c r="D20" s="17" t="s">
        <v>80</v>
      </c>
      <c r="E20" s="18">
        <f>FIMproblem</f>
        <v>0</v>
      </c>
      <c r="F20" s="15" t="s">
        <v>82</v>
      </c>
      <c r="H20" s="15">
        <f t="shared" si="0"/>
        <v>0</v>
      </c>
      <c r="N20" s="15" t="e">
        <f>ROUND(W.FIM_Motorv5,0)</f>
        <v>#N/A</v>
      </c>
    </row>
    <row r="21" spans="4:14">
      <c r="D21" s="17" t="s">
        <v>73</v>
      </c>
      <c r="E21" s="18">
        <f>FIMmemory</f>
        <v>0</v>
      </c>
      <c r="F21" s="20" t="str">
        <f>IF(SUM(H17:H21)=5,SUM(E17:E21),"Data Incomplete")</f>
        <v>Data Incomplete</v>
      </c>
      <c r="H21" s="15">
        <f t="shared" si="0"/>
        <v>0</v>
      </c>
    </row>
    <row r="22" spans="4:14">
      <c r="D22" s="21" t="s">
        <v>83</v>
      </c>
      <c r="E22" s="20" t="str">
        <f>IF(SUM(H4:H21)=18,SUM(E4:E21),"Data Incomplete")</f>
        <v>Data Incomplete</v>
      </c>
    </row>
    <row r="24" spans="4:14">
      <c r="D24" s="22" t="s">
        <v>220</v>
      </c>
      <c r="E24" s="15" t="str">
        <f>IF(AND(SUM(H4:H21)=18,AICrawv5&lt;&gt;0,RehabTypeValuev5&gt;0,AssessOnlyValuev5&gt;0,AICmajorv5&gt;0,Agev5&gt;5,Agev5&lt;120),"Yes","No")</f>
        <v>No</v>
      </c>
    </row>
    <row r="25" spans="4:14" ht="26.25" customHeight="1">
      <c r="D25" s="23" t="s">
        <v>509</v>
      </c>
      <c r="E25" s="15" t="str">
        <f>IF(DataComplete="Yes",VLOOKUP("MATCH",SNAPCode_Listv5,2,FALSE),"Data Incomplete")</f>
        <v>Data Incomplete</v>
      </c>
    </row>
    <row r="26" spans="4:14" ht="23.25">
      <c r="D26" s="23" t="s">
        <v>54</v>
      </c>
      <c r="E26" s="15" t="str">
        <f>IF(DataComplete="Yes",VLOOKUP("MATCH",SNAPCode_Listv5,4,FALSE),"—")</f>
        <v>—</v>
      </c>
    </row>
  </sheetData>
  <sheetProtection selectLockedCells="1" selectUnlockedCells="1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3"/>
  <sheetViews>
    <sheetView showGridLines="0" topLeftCell="B1" workbookViewId="0">
      <selection activeCell="S18" sqref="S18"/>
    </sheetView>
  </sheetViews>
  <sheetFormatPr defaultColWidth="9.140625" defaultRowHeight="15"/>
  <cols>
    <col min="1" max="2" width="9.140625" style="24"/>
    <col min="3" max="3" width="18.140625" style="24" bestFit="1" customWidth="1"/>
    <col min="4" max="16384" width="9.140625" style="24"/>
  </cols>
  <sheetData>
    <row r="3" spans="2:16">
      <c r="C3" s="24" t="s">
        <v>370</v>
      </c>
      <c r="D3" s="24" t="s">
        <v>371</v>
      </c>
      <c r="E3" s="24" t="s">
        <v>372</v>
      </c>
      <c r="F3" s="24" t="s">
        <v>373</v>
      </c>
      <c r="G3" s="24" t="s">
        <v>374</v>
      </c>
      <c r="H3" s="24" t="s">
        <v>375</v>
      </c>
      <c r="I3" s="24" t="s">
        <v>376</v>
      </c>
      <c r="J3" s="24" t="s">
        <v>377</v>
      </c>
      <c r="K3" s="24" t="s">
        <v>378</v>
      </c>
      <c r="L3" s="24" t="s">
        <v>379</v>
      </c>
      <c r="M3" s="24" t="s">
        <v>380</v>
      </c>
      <c r="N3" s="24" t="s">
        <v>381</v>
      </c>
      <c r="O3" s="24" t="s">
        <v>382</v>
      </c>
      <c r="P3" s="24" t="s">
        <v>383</v>
      </c>
    </row>
    <row r="4" spans="2:16">
      <c r="B4" s="24">
        <v>1</v>
      </c>
      <c r="C4" s="24" t="s">
        <v>384</v>
      </c>
      <c r="D4" s="24">
        <v>0.96699999999999997</v>
      </c>
      <c r="E4" s="24">
        <v>0.99399999999999999</v>
      </c>
      <c r="F4" s="24">
        <v>1.107</v>
      </c>
      <c r="G4" s="24">
        <v>0.86399999999999999</v>
      </c>
      <c r="H4" s="24">
        <v>0.97199999999999998</v>
      </c>
      <c r="I4" s="24">
        <v>1.0760000000000001</v>
      </c>
      <c r="J4" s="24">
        <v>0.85599999999999998</v>
      </c>
      <c r="K4" s="24">
        <v>0.89</v>
      </c>
      <c r="L4" s="24">
        <v>1.127</v>
      </c>
      <c r="M4" s="24">
        <v>1.087</v>
      </c>
      <c r="N4" s="24">
        <v>1.103</v>
      </c>
      <c r="O4" s="24">
        <v>0.95699999999999996</v>
      </c>
      <c r="P4" s="24">
        <v>1</v>
      </c>
    </row>
    <row r="5" spans="2:16">
      <c r="B5" s="24">
        <v>2</v>
      </c>
      <c r="C5" s="24" t="s">
        <v>385</v>
      </c>
      <c r="D5" s="24">
        <v>1.244</v>
      </c>
      <c r="E5" s="24">
        <v>1.1060000000000001</v>
      </c>
      <c r="F5" s="24">
        <v>1.0629999999999999</v>
      </c>
      <c r="G5" s="24">
        <v>0.74199999999999999</v>
      </c>
      <c r="H5" s="24">
        <v>0.748</v>
      </c>
      <c r="I5" s="24">
        <v>0.996</v>
      </c>
      <c r="J5" s="24">
        <v>0.89900000000000002</v>
      </c>
      <c r="K5" s="24">
        <v>1.075</v>
      </c>
      <c r="L5" s="24">
        <v>1.0609999999999999</v>
      </c>
      <c r="M5" s="24">
        <v>1.0569999999999999</v>
      </c>
      <c r="N5" s="24">
        <v>1.073</v>
      </c>
      <c r="O5" s="24">
        <v>0.93700000000000006</v>
      </c>
      <c r="P5" s="24">
        <v>1</v>
      </c>
    </row>
    <row r="6" spans="2:16">
      <c r="B6" s="24">
        <v>3</v>
      </c>
      <c r="C6" s="24" t="s">
        <v>386</v>
      </c>
      <c r="D6" s="24">
        <v>1.0469999999999999</v>
      </c>
      <c r="E6" s="24">
        <v>1.0389999999999999</v>
      </c>
      <c r="F6" s="24">
        <v>1.125</v>
      </c>
      <c r="G6" s="24">
        <v>0.81</v>
      </c>
      <c r="H6" s="24">
        <v>0.98299999999999998</v>
      </c>
      <c r="I6" s="24">
        <v>1.083</v>
      </c>
      <c r="J6" s="24">
        <v>0.83899999999999997</v>
      </c>
      <c r="K6" s="24">
        <v>0.89200000000000002</v>
      </c>
      <c r="L6" s="24">
        <v>1.1719999999999999</v>
      </c>
      <c r="M6" s="24">
        <v>1.071</v>
      </c>
      <c r="N6" s="24">
        <v>1.0669999999999999</v>
      </c>
      <c r="O6" s="24">
        <v>0.872</v>
      </c>
      <c r="P6" s="24">
        <v>1</v>
      </c>
    </row>
    <row r="7" spans="2:16">
      <c r="B7" s="24">
        <v>4</v>
      </c>
      <c r="C7" s="24" t="s">
        <v>387</v>
      </c>
      <c r="D7" s="24">
        <v>1.1200000000000001</v>
      </c>
      <c r="E7" s="24">
        <v>0.82799999999999996</v>
      </c>
      <c r="F7" s="24">
        <v>1.4410000000000001</v>
      </c>
      <c r="G7" s="24">
        <v>0.502</v>
      </c>
      <c r="H7" s="24">
        <v>1.244</v>
      </c>
      <c r="I7" s="24">
        <v>1.3320000000000001</v>
      </c>
      <c r="J7" s="24">
        <v>1.0029999999999999</v>
      </c>
      <c r="K7" s="24">
        <v>1.0509999999999999</v>
      </c>
      <c r="L7" s="24">
        <v>1.2290000000000001</v>
      </c>
      <c r="M7" s="24">
        <v>0.97899999999999998</v>
      </c>
      <c r="N7" s="24">
        <v>1.071</v>
      </c>
      <c r="O7" s="24">
        <v>0.19900000000000001</v>
      </c>
      <c r="P7" s="24">
        <v>1</v>
      </c>
    </row>
    <row r="8" spans="2:16">
      <c r="B8" s="24">
        <v>5</v>
      </c>
      <c r="C8" s="24" t="s">
        <v>388</v>
      </c>
      <c r="D8" s="24">
        <v>0.40600000000000003</v>
      </c>
      <c r="E8" s="24">
        <v>0.47899999999999998</v>
      </c>
      <c r="F8" s="24">
        <v>1.26</v>
      </c>
      <c r="G8" s="24">
        <v>0.85399999999999998</v>
      </c>
      <c r="H8" s="24">
        <v>0.93799999999999994</v>
      </c>
      <c r="I8" s="24">
        <v>1.254</v>
      </c>
      <c r="J8" s="24">
        <v>0.69899999999999995</v>
      </c>
      <c r="K8" s="24">
        <v>0.89</v>
      </c>
      <c r="L8" s="24">
        <v>1.4550000000000001</v>
      </c>
      <c r="M8" s="24">
        <v>1.391</v>
      </c>
      <c r="N8" s="24">
        <v>1.409</v>
      </c>
      <c r="O8" s="24">
        <v>0.96399999999999997</v>
      </c>
      <c r="P8" s="24">
        <v>1</v>
      </c>
    </row>
    <row r="9" spans="2:16">
      <c r="B9" s="24">
        <v>6</v>
      </c>
      <c r="C9" s="24" t="s">
        <v>389</v>
      </c>
      <c r="D9" s="24">
        <v>1.1850000000000001</v>
      </c>
      <c r="E9" s="24">
        <v>1.159</v>
      </c>
      <c r="F9" s="24">
        <v>1.204</v>
      </c>
      <c r="G9" s="24">
        <v>0.65700000000000003</v>
      </c>
      <c r="H9" s="24">
        <v>0.82099999999999995</v>
      </c>
      <c r="I9" s="24">
        <v>1.0820000000000001</v>
      </c>
      <c r="J9" s="24">
        <v>0.92600000000000005</v>
      </c>
      <c r="K9" s="24">
        <v>0.98</v>
      </c>
      <c r="L9" s="24">
        <v>1.1639999999999999</v>
      </c>
      <c r="M9" s="24">
        <v>1.0609999999999999</v>
      </c>
      <c r="N9" s="24">
        <v>1.0720000000000001</v>
      </c>
      <c r="O9" s="24">
        <v>0.68899999999999995</v>
      </c>
      <c r="P9" s="24">
        <v>1</v>
      </c>
    </row>
    <row r="10" spans="2:16">
      <c r="B10" s="24">
        <v>7</v>
      </c>
      <c r="C10" s="24" t="s">
        <v>140</v>
      </c>
      <c r="D10" s="24">
        <v>0.95599999999999996</v>
      </c>
      <c r="E10" s="24">
        <v>1.05</v>
      </c>
      <c r="F10" s="24">
        <v>1.125</v>
      </c>
      <c r="G10" s="24">
        <v>0.499</v>
      </c>
      <c r="H10" s="24">
        <v>0.68400000000000005</v>
      </c>
      <c r="I10" s="24">
        <v>1.034</v>
      </c>
      <c r="J10" s="24">
        <v>0.99099999999999999</v>
      </c>
      <c r="K10" s="24">
        <v>0.96699999999999997</v>
      </c>
      <c r="L10" s="24">
        <v>1.345</v>
      </c>
      <c r="M10" s="24">
        <v>1.2649999999999999</v>
      </c>
      <c r="N10" s="24">
        <v>1.274</v>
      </c>
      <c r="O10" s="24">
        <v>0.80100000000000005</v>
      </c>
      <c r="P10" s="24">
        <v>1</v>
      </c>
    </row>
    <row r="11" spans="2:16">
      <c r="B11" s="24">
        <v>81</v>
      </c>
      <c r="C11" s="24" t="s">
        <v>390</v>
      </c>
      <c r="D11" s="24">
        <v>0.79800000000000004</v>
      </c>
      <c r="E11" s="24">
        <v>0.88100000000000001</v>
      </c>
      <c r="F11" s="24">
        <v>1.0900000000000001</v>
      </c>
      <c r="G11" s="24">
        <v>0.46300000000000002</v>
      </c>
      <c r="H11" s="24">
        <v>0.93300000000000005</v>
      </c>
      <c r="I11" s="24">
        <v>1.2490000000000001</v>
      </c>
      <c r="J11" s="24">
        <v>0.873</v>
      </c>
      <c r="K11" s="24">
        <v>0.97899999999999998</v>
      </c>
      <c r="L11" s="24">
        <v>1.462</v>
      </c>
      <c r="M11" s="24">
        <v>1.2210000000000001</v>
      </c>
      <c r="N11" s="24">
        <v>1.26</v>
      </c>
      <c r="O11" s="24">
        <v>0.79</v>
      </c>
      <c r="P11" s="24">
        <v>1</v>
      </c>
    </row>
    <row r="12" spans="2:16">
      <c r="B12" s="24">
        <v>82</v>
      </c>
      <c r="C12" s="24" t="s">
        <v>510</v>
      </c>
      <c r="D12" s="24">
        <v>1.0349999999999999</v>
      </c>
      <c r="E12" s="24">
        <v>1.107</v>
      </c>
      <c r="F12" s="24">
        <v>1.1339999999999999</v>
      </c>
      <c r="G12" s="24">
        <v>0.436</v>
      </c>
      <c r="H12" s="24">
        <v>0.70399999999999996</v>
      </c>
      <c r="I12" s="24">
        <v>1.1439999999999999</v>
      </c>
      <c r="J12" s="24">
        <v>0.94799999999999995</v>
      </c>
      <c r="K12" s="24">
        <v>1.0680000000000001</v>
      </c>
      <c r="L12" s="24">
        <v>1.357</v>
      </c>
      <c r="M12" s="24">
        <v>1.1990000000000001</v>
      </c>
      <c r="N12" s="24">
        <v>1.238</v>
      </c>
      <c r="O12" s="24">
        <v>0.63100000000000001</v>
      </c>
      <c r="P12" s="24">
        <v>1</v>
      </c>
    </row>
    <row r="13" spans="2:16">
      <c r="B13" s="56">
        <v>83</v>
      </c>
      <c r="C13" s="56" t="s">
        <v>511</v>
      </c>
      <c r="D13" s="56">
        <v>1.0349999999999999</v>
      </c>
      <c r="E13" s="56">
        <v>1.107</v>
      </c>
      <c r="F13" s="56">
        <v>1.1339999999999999</v>
      </c>
      <c r="G13" s="56">
        <v>0.436</v>
      </c>
      <c r="H13" s="56">
        <v>0.70399999999999996</v>
      </c>
      <c r="I13" s="56">
        <v>1.1439999999999999</v>
      </c>
      <c r="J13" s="56">
        <v>0.94799999999999995</v>
      </c>
      <c r="K13" s="56">
        <v>1.0680000000000001</v>
      </c>
      <c r="L13" s="56">
        <v>1.357</v>
      </c>
      <c r="M13" s="56">
        <v>1.1990000000000001</v>
      </c>
      <c r="N13" s="56">
        <v>1.238</v>
      </c>
      <c r="O13" s="56">
        <v>0.63100000000000001</v>
      </c>
      <c r="P13" s="56">
        <v>1</v>
      </c>
    </row>
    <row r="14" spans="2:16">
      <c r="B14" s="56">
        <v>84</v>
      </c>
      <c r="C14" s="56" t="s">
        <v>392</v>
      </c>
      <c r="D14" s="56">
        <v>1.0349999999999999</v>
      </c>
      <c r="E14" s="56">
        <v>1.107</v>
      </c>
      <c r="F14" s="56">
        <v>1.1339999999999999</v>
      </c>
      <c r="G14" s="56">
        <v>0.436</v>
      </c>
      <c r="H14" s="56">
        <v>0.70399999999999996</v>
      </c>
      <c r="I14" s="56">
        <v>1.1439999999999999</v>
      </c>
      <c r="J14" s="56">
        <v>0.94799999999999995</v>
      </c>
      <c r="K14" s="56">
        <v>1.0680000000000001</v>
      </c>
      <c r="L14" s="56">
        <v>1.357</v>
      </c>
      <c r="M14" s="56">
        <v>1.1990000000000001</v>
      </c>
      <c r="N14" s="56">
        <v>1.238</v>
      </c>
      <c r="O14" s="56">
        <v>0.63100000000000001</v>
      </c>
      <c r="P14" s="56">
        <v>1</v>
      </c>
    </row>
    <row r="15" spans="2:16">
      <c r="B15" s="24">
        <v>9</v>
      </c>
      <c r="C15" s="24" t="s">
        <v>162</v>
      </c>
      <c r="D15" s="24">
        <v>0.95599999999999996</v>
      </c>
      <c r="E15" s="24">
        <v>1.05</v>
      </c>
      <c r="F15" s="24">
        <v>1.125</v>
      </c>
      <c r="G15" s="24">
        <v>0.499</v>
      </c>
      <c r="H15" s="24">
        <v>0.68400000000000005</v>
      </c>
      <c r="I15" s="24">
        <v>1.034</v>
      </c>
      <c r="J15" s="24">
        <v>0.99099999999999999</v>
      </c>
      <c r="K15" s="24">
        <v>0.96699999999999997</v>
      </c>
      <c r="L15" s="24">
        <v>1.3540000000000001</v>
      </c>
      <c r="M15" s="24">
        <v>1.2649999999999999</v>
      </c>
      <c r="N15" s="24">
        <v>1.274</v>
      </c>
      <c r="O15" s="24">
        <v>0.80100000000000005</v>
      </c>
      <c r="P15" s="24">
        <v>1</v>
      </c>
    </row>
    <row r="16" spans="2:16">
      <c r="B16" s="24">
        <v>10</v>
      </c>
      <c r="C16" s="24" t="s">
        <v>393</v>
      </c>
      <c r="D16" s="24">
        <v>0.95599999999999996</v>
      </c>
      <c r="E16" s="24">
        <v>1.05</v>
      </c>
      <c r="F16" s="24">
        <v>1.125</v>
      </c>
      <c r="G16" s="24">
        <v>0.499</v>
      </c>
      <c r="H16" s="24">
        <v>0.68400000000000005</v>
      </c>
      <c r="I16" s="24">
        <v>1.034</v>
      </c>
      <c r="J16" s="24">
        <v>0.99099999999999999</v>
      </c>
      <c r="K16" s="24">
        <v>0.96699999999999997</v>
      </c>
      <c r="L16" s="24">
        <v>1.3540000000000001</v>
      </c>
      <c r="M16" s="24">
        <v>1.2649999999999999</v>
      </c>
      <c r="N16" s="24">
        <v>1.274</v>
      </c>
      <c r="O16" s="24">
        <v>0.80100000000000005</v>
      </c>
      <c r="P16" s="24">
        <v>1</v>
      </c>
    </row>
    <row r="17" spans="2:16">
      <c r="B17" s="24">
        <v>11</v>
      </c>
      <c r="C17" s="24" t="s">
        <v>44</v>
      </c>
      <c r="D17" s="24">
        <v>1.1850000000000001</v>
      </c>
      <c r="E17" s="24">
        <v>1.159</v>
      </c>
      <c r="F17" s="24">
        <v>1.204</v>
      </c>
      <c r="G17" s="24">
        <v>0.65700000000000003</v>
      </c>
      <c r="H17" s="24">
        <v>0.82099999999999995</v>
      </c>
      <c r="I17" s="24">
        <v>1.0820000000000001</v>
      </c>
      <c r="J17" s="24">
        <v>0.92600000000000005</v>
      </c>
      <c r="K17" s="24">
        <v>0.98</v>
      </c>
      <c r="L17" s="24">
        <v>1.1639999999999999</v>
      </c>
      <c r="M17" s="24">
        <v>1.0609999999999999</v>
      </c>
      <c r="N17" s="24">
        <v>1.0720000000000001</v>
      </c>
      <c r="O17" s="24">
        <v>0.68899999999999995</v>
      </c>
      <c r="P17" s="24">
        <v>1</v>
      </c>
    </row>
    <row r="18" spans="2:16">
      <c r="B18" s="24">
        <v>12</v>
      </c>
      <c r="C18" s="24" t="s">
        <v>394</v>
      </c>
      <c r="D18" s="24">
        <v>1.1850000000000001</v>
      </c>
      <c r="E18" s="24">
        <v>1.159</v>
      </c>
      <c r="F18" s="24">
        <v>1.204</v>
      </c>
      <c r="G18" s="24">
        <v>0.65700000000000003</v>
      </c>
      <c r="H18" s="24">
        <v>0.82099999999999995</v>
      </c>
      <c r="I18" s="24">
        <v>1.0820000000000001</v>
      </c>
      <c r="J18" s="24">
        <v>0.92600000000000005</v>
      </c>
      <c r="K18" s="24">
        <v>0.98</v>
      </c>
      <c r="L18" s="24">
        <v>1.1639999999999999</v>
      </c>
      <c r="M18" s="24">
        <v>1.0609999999999999</v>
      </c>
      <c r="N18" s="24">
        <v>1.0720000000000001</v>
      </c>
      <c r="O18" s="24">
        <v>0.68899999999999995</v>
      </c>
      <c r="P18" s="24">
        <v>1</v>
      </c>
    </row>
    <row r="19" spans="2:16">
      <c r="B19" s="24">
        <v>13</v>
      </c>
      <c r="C19" s="24" t="s">
        <v>395</v>
      </c>
      <c r="D19" s="24">
        <v>1.1850000000000001</v>
      </c>
      <c r="E19" s="24">
        <v>1.159</v>
      </c>
      <c r="F19" s="24">
        <v>1.204</v>
      </c>
      <c r="G19" s="24">
        <v>0.65700000000000003</v>
      </c>
      <c r="H19" s="24">
        <v>0.82099999999999995</v>
      </c>
      <c r="I19" s="24">
        <v>1.0820000000000001</v>
      </c>
      <c r="J19" s="24">
        <v>0.92600000000000005</v>
      </c>
      <c r="K19" s="24">
        <v>0.98</v>
      </c>
      <c r="L19" s="24">
        <v>1.1639999999999999</v>
      </c>
      <c r="M19" s="24">
        <v>1.0609999999999999</v>
      </c>
      <c r="N19" s="24">
        <v>1.0720000000000001</v>
      </c>
      <c r="O19" s="24">
        <v>0.68899999999999995</v>
      </c>
      <c r="P19" s="24">
        <v>1</v>
      </c>
    </row>
    <row r="20" spans="2:16">
      <c r="B20" s="24">
        <v>14</v>
      </c>
      <c r="C20" s="24" t="s">
        <v>396</v>
      </c>
      <c r="D20" s="24">
        <v>1.1739999999999999</v>
      </c>
      <c r="E20" s="24">
        <v>1.097</v>
      </c>
      <c r="F20" s="24">
        <v>1.08</v>
      </c>
      <c r="G20" s="24">
        <v>0.58799999999999997</v>
      </c>
      <c r="H20" s="24">
        <v>0.68200000000000005</v>
      </c>
      <c r="I20" s="24">
        <v>1.044</v>
      </c>
      <c r="J20" s="24">
        <v>1.0389999999999999</v>
      </c>
      <c r="K20" s="24">
        <v>1.1839999999999999</v>
      </c>
      <c r="L20" s="24">
        <v>1.1060000000000001</v>
      </c>
      <c r="M20" s="24">
        <v>1.0900000000000001</v>
      </c>
      <c r="N20" s="24">
        <v>1.0880000000000001</v>
      </c>
      <c r="O20" s="24">
        <v>0.82899999999999996</v>
      </c>
      <c r="P20" s="24">
        <v>1</v>
      </c>
    </row>
    <row r="21" spans="2:16">
      <c r="B21" s="24">
        <v>15</v>
      </c>
      <c r="C21" s="24" t="s">
        <v>397</v>
      </c>
      <c r="D21" s="24">
        <v>1.1850000000000001</v>
      </c>
      <c r="E21" s="24">
        <v>1.159</v>
      </c>
      <c r="F21" s="24">
        <v>1.204</v>
      </c>
      <c r="G21" s="24">
        <v>0.65700000000000003</v>
      </c>
      <c r="H21" s="24">
        <v>0.82099999999999995</v>
      </c>
      <c r="I21" s="24">
        <v>1.0820000000000001</v>
      </c>
      <c r="J21" s="24">
        <v>0.92600000000000005</v>
      </c>
      <c r="K21" s="24">
        <v>0.98</v>
      </c>
      <c r="L21" s="24">
        <v>1.1639999999999999</v>
      </c>
      <c r="M21" s="24">
        <v>1.0609999999999999</v>
      </c>
      <c r="N21" s="24">
        <v>1.0720000000000001</v>
      </c>
      <c r="O21" s="24">
        <v>0.68899999999999995</v>
      </c>
      <c r="P21" s="24">
        <v>1</v>
      </c>
    </row>
    <row r="22" spans="2:16">
      <c r="B22" s="24">
        <v>16</v>
      </c>
      <c r="C22" s="24" t="s">
        <v>398</v>
      </c>
      <c r="D22" s="24">
        <v>0.80900000000000005</v>
      </c>
      <c r="E22" s="24">
        <v>0.89400000000000002</v>
      </c>
      <c r="F22" s="24">
        <v>1.121</v>
      </c>
      <c r="G22" s="24">
        <v>0.56299999999999994</v>
      </c>
      <c r="H22" s="24">
        <v>0.85699999999999998</v>
      </c>
      <c r="I22" s="24">
        <v>1.145</v>
      </c>
      <c r="J22" s="24">
        <v>0.83799999999999997</v>
      </c>
      <c r="K22" s="24">
        <v>0.88600000000000001</v>
      </c>
      <c r="L22" s="24">
        <v>1.385</v>
      </c>
      <c r="M22" s="24">
        <v>1.292</v>
      </c>
      <c r="N22" s="24">
        <v>1.2969999999999999</v>
      </c>
      <c r="O22" s="24">
        <v>0.91300000000000003</v>
      </c>
      <c r="P22" s="24">
        <v>1</v>
      </c>
    </row>
    <row r="23" spans="2:16">
      <c r="B23" s="24">
        <v>18</v>
      </c>
      <c r="C23" s="24" t="s">
        <v>503</v>
      </c>
      <c r="D23" s="24">
        <v>1.1850000000000001</v>
      </c>
      <c r="E23" s="24">
        <v>1.159</v>
      </c>
      <c r="F23" s="24">
        <v>1.204</v>
      </c>
      <c r="G23" s="24">
        <v>0.65700000000000003</v>
      </c>
      <c r="H23" s="24">
        <v>0.82099999999999995</v>
      </c>
      <c r="I23" s="24">
        <v>1.0820000000000001</v>
      </c>
      <c r="J23" s="24">
        <v>0.92600000000000005</v>
      </c>
      <c r="K23" s="24">
        <v>0.98</v>
      </c>
      <c r="L23" s="24">
        <v>1.1639999999999999</v>
      </c>
      <c r="M23" s="24">
        <v>1.0609999999999999</v>
      </c>
      <c r="N23" s="24">
        <v>1.0720000000000001</v>
      </c>
      <c r="O23" s="24">
        <v>0.68899999999999995</v>
      </c>
      <c r="P23" s="24">
        <v>1</v>
      </c>
    </row>
  </sheetData>
  <sheetProtection selectLockedCells="1" selectUnlockedCells="1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90</vt:i4>
      </vt:variant>
    </vt:vector>
  </HeadingPairs>
  <TitlesOfParts>
    <vt:vector size="100" baseType="lpstr">
      <vt:lpstr>DataEntry</vt:lpstr>
      <vt:lpstr>ListData</vt:lpstr>
      <vt:lpstr>Calculation</vt:lpstr>
      <vt:lpstr>ListDataV4</vt:lpstr>
      <vt:lpstr>CalculationV4</vt:lpstr>
      <vt:lpstr>WeightedFIMLookupV4</vt:lpstr>
      <vt:lpstr>ListDataV5</vt:lpstr>
      <vt:lpstr>CalculationV5</vt:lpstr>
      <vt:lpstr>WeightedFIMLookupV5</vt:lpstr>
      <vt:lpstr>Benchmarks</vt:lpstr>
      <vt:lpstr>Age</vt:lpstr>
      <vt:lpstr>Agev4</vt:lpstr>
      <vt:lpstr>Agev5</vt:lpstr>
      <vt:lpstr>AICDesc</vt:lpstr>
      <vt:lpstr>AICDescv4</vt:lpstr>
      <vt:lpstr>AICDescv5</vt:lpstr>
      <vt:lpstr>AICmajor</vt:lpstr>
      <vt:lpstr>AICmajorv4</vt:lpstr>
      <vt:lpstr>AICmajorv5</vt:lpstr>
      <vt:lpstr>AICminor</vt:lpstr>
      <vt:lpstr>AICminorv4</vt:lpstr>
      <vt:lpstr>AICminorv5</vt:lpstr>
      <vt:lpstr>AICRaw</vt:lpstr>
      <vt:lpstr>AICrawv4</vt:lpstr>
      <vt:lpstr>AICrawv5</vt:lpstr>
      <vt:lpstr>AROC_Impairment_Code</vt:lpstr>
      <vt:lpstr>AssessOnly</vt:lpstr>
      <vt:lpstr>AssessOnlyList</vt:lpstr>
      <vt:lpstr>AssessOnlyListv4</vt:lpstr>
      <vt:lpstr>AssessOnlyListv5</vt:lpstr>
      <vt:lpstr>AssessOnlyValue</vt:lpstr>
      <vt:lpstr>AssessOnlyValuev4</vt:lpstr>
      <vt:lpstr>AssessOnlyValuev5</vt:lpstr>
      <vt:lpstr>BenchmarkPeriod</vt:lpstr>
      <vt:lpstr>Country</vt:lpstr>
      <vt:lpstr>DataComplete</vt:lpstr>
      <vt:lpstr>DataCompletev4</vt:lpstr>
      <vt:lpstr>DataCompletev5</vt:lpstr>
      <vt:lpstr>Date_of_Birth</vt:lpstr>
      <vt:lpstr>Episode_Start_Date</vt:lpstr>
      <vt:lpstr>FIM_Code</vt:lpstr>
      <vt:lpstr>FIM_Codev4</vt:lpstr>
      <vt:lpstr>FIM_Codev5</vt:lpstr>
      <vt:lpstr>FIM_Cognition</vt:lpstr>
      <vt:lpstr>FIM_Cognitionv4</vt:lpstr>
      <vt:lpstr>FIM_Cognitionv5</vt:lpstr>
      <vt:lpstr>FIM_Motorv4</vt:lpstr>
      <vt:lpstr>FIM_Motorv5</vt:lpstr>
      <vt:lpstr>FIM_Total</vt:lpstr>
      <vt:lpstr>FIM_Totalv4</vt:lpstr>
      <vt:lpstr>FIM_Totalv5</vt:lpstr>
      <vt:lpstr>FIMbathing</vt:lpstr>
      <vt:lpstr>FIMBenchmark</vt:lpstr>
      <vt:lpstr>FIMbladder</vt:lpstr>
      <vt:lpstr>FIMbowel</vt:lpstr>
      <vt:lpstr>FIMcomprehension</vt:lpstr>
      <vt:lpstr>FIMeating</vt:lpstr>
      <vt:lpstr>FIMexpression</vt:lpstr>
      <vt:lpstr>FIMgrooming</vt:lpstr>
      <vt:lpstr>FIMlocomotion</vt:lpstr>
      <vt:lpstr>FIMlower</vt:lpstr>
      <vt:lpstr>FIMmemory</vt:lpstr>
      <vt:lpstr>FIMMotor</vt:lpstr>
      <vt:lpstr>FIMproblem</vt:lpstr>
      <vt:lpstr>FIMsocial</vt:lpstr>
      <vt:lpstr>FIMstairs</vt:lpstr>
      <vt:lpstr>FIMtoileting</vt:lpstr>
      <vt:lpstr>FIMtransfer</vt:lpstr>
      <vt:lpstr>FIMtransfertoil</vt:lpstr>
      <vt:lpstr>FIMtransfertub</vt:lpstr>
      <vt:lpstr>FIMupper</vt:lpstr>
      <vt:lpstr>Impairment_Code</vt:lpstr>
      <vt:lpstr>ImpairmentCode_v4</vt:lpstr>
      <vt:lpstr>ImpairmentCode_v5</vt:lpstr>
      <vt:lpstr>LOSBenchmark</vt:lpstr>
      <vt:lpstr>DataEntry!Print_Area</vt:lpstr>
      <vt:lpstr>R.W.FIM_Motorv4</vt:lpstr>
      <vt:lpstr>R.W.FIM_Motorv5</vt:lpstr>
      <vt:lpstr>RehabTypeList</vt:lpstr>
      <vt:lpstr>RehabTypeListv4</vt:lpstr>
      <vt:lpstr>RehabTypeListv5</vt:lpstr>
      <vt:lpstr>RehabTypeValue</vt:lpstr>
      <vt:lpstr>RehabTypeValuev4</vt:lpstr>
      <vt:lpstr>RehabTypeValuev5</vt:lpstr>
      <vt:lpstr>SNAP_Class_Calc</vt:lpstr>
      <vt:lpstr>SNAP_Class_Calc_Desc</vt:lpstr>
      <vt:lpstr>SNAP_Class_Calc_Descv4</vt:lpstr>
      <vt:lpstr>SNAP_Class_Calc_Descv5</vt:lpstr>
      <vt:lpstr>SNAP_Class_Calcv4</vt:lpstr>
      <vt:lpstr>SNAP_Class_Calcv5</vt:lpstr>
      <vt:lpstr>SNAPCode_List</vt:lpstr>
      <vt:lpstr>SNAPCode_Listv4</vt:lpstr>
      <vt:lpstr>SNAPCode_Listv5</vt:lpstr>
      <vt:lpstr>UpdateBenchmarksDate</vt:lpstr>
      <vt:lpstr>W.FIM_Motorv4</vt:lpstr>
      <vt:lpstr>W.FIM_Motorv5</vt:lpstr>
      <vt:lpstr>WFIMHighGroupv4</vt:lpstr>
      <vt:lpstr>WFIMHighGroupv5</vt:lpstr>
      <vt:lpstr>WFIMLowGroupv4</vt:lpstr>
      <vt:lpstr>WFIMLowGroupv5</vt:lpstr>
    </vt:vector>
  </TitlesOfParts>
  <Company>University of Wollongong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Steele</dc:creator>
  <cp:lastModifiedBy>Lewis Green</cp:lastModifiedBy>
  <cp:lastPrinted>2017-06-28T05:03:22Z</cp:lastPrinted>
  <dcterms:created xsi:type="dcterms:W3CDTF">2013-06-27T00:35:49Z</dcterms:created>
  <dcterms:modified xsi:type="dcterms:W3CDTF">2024-03-06T03:19:11Z</dcterms:modified>
</cp:coreProperties>
</file>